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bwoffshorenorwayas.sharepoint.com/sites/fincorprep/Quarterly reporting/2025/Q225/"/>
    </mc:Choice>
  </mc:AlternateContent>
  <xr:revisionPtr revIDLastSave="2682" documentId="8_{4110C7B7-FCE7-41BD-B073-12484B444620}" xr6:coauthVersionLast="47" xr6:coauthVersionMax="47" xr10:uidLastSave="{72EA5B42-F1A5-4CC6-A9A1-F19667881546}"/>
  <bookViews>
    <workbookView xWindow="-120" yWindow="-120" windowWidth="29040" windowHeight="15720" activeTab="6" xr2:uid="{00000000-000D-0000-FFFF-FFFF00000000}"/>
  </bookViews>
  <sheets>
    <sheet name="Income statement" sheetId="9" r:id="rId1"/>
    <sheet name="OCI" sheetId="52" r:id="rId2"/>
    <sheet name="Balance sheet" sheetId="8" r:id="rId3"/>
    <sheet name="Cashflow" sheetId="7" r:id="rId4"/>
    <sheet name="Key figures" sheetId="1" r:id="rId5"/>
    <sheet name="Regions" sheetId="51" r:id="rId6"/>
    <sheet name="Segments" sheetId="50" r:id="rId7"/>
  </sheets>
  <definedNames>
    <definedName name="_xlnm.Print_Area" localSheetId="3">Cashflow!$A$2:$AG$55</definedName>
    <definedName name="_xlnm.Print_Area" localSheetId="4">'Key figures'!$A$1:$AG$16</definedName>
    <definedName name="_xlnm.Print_Area" localSheetId="1">OCI!$A$2:$AG$19</definedName>
    <definedName name="_xlnm.Print_Area" localSheetId="5">Regions!$A$1:$AG$15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53" i="7" l="1"/>
  <c r="AQ49" i="7"/>
  <c r="AQ36" i="7"/>
  <c r="AQ21" i="7"/>
  <c r="AQ24" i="7" s="1"/>
  <c r="AS3" i="51"/>
  <c r="AQ51" i="7" l="1"/>
  <c r="AQ54" i="7" s="1"/>
  <c r="AV21" i="7" l="1"/>
  <c r="AV53" i="7" l="1"/>
  <c r="AR43" i="50"/>
  <c r="AR37" i="50"/>
  <c r="AR35" i="50"/>
  <c r="AR30" i="50"/>
  <c r="AR28" i="50"/>
  <c r="AR23" i="50"/>
  <c r="AR21" i="50"/>
  <c r="AR16" i="50"/>
  <c r="AR14" i="50"/>
  <c r="AR9" i="50"/>
  <c r="AR7" i="50"/>
  <c r="AV12" i="51"/>
  <c r="AV8" i="51"/>
  <c r="AV6" i="51"/>
  <c r="AV49" i="7" l="1"/>
  <c r="AV36" i="7"/>
  <c r="AV24" i="7"/>
  <c r="AN46" i="8"/>
  <c r="AN38" i="8"/>
  <c r="AN28" i="8"/>
  <c r="AN21" i="8"/>
  <c r="AN14" i="8"/>
  <c r="AV8" i="52"/>
  <c r="AV14" i="52" s="1"/>
  <c r="AV16" i="52" s="1"/>
  <c r="AW18" i="9"/>
  <c r="AW6" i="9"/>
  <c r="AW12" i="9" s="1"/>
  <c r="B17" i="8"/>
  <c r="B21" i="8" s="1"/>
  <c r="B46" i="8"/>
  <c r="B38" i="8"/>
  <c r="B28" i="8"/>
  <c r="B14" i="8"/>
  <c r="B30" i="9"/>
  <c r="B28" i="9"/>
  <c r="B24" i="9"/>
  <c r="B21" i="9"/>
  <c r="B18" i="9"/>
  <c r="B12" i="9"/>
  <c r="B6" i="9"/>
  <c r="AU49" i="7"/>
  <c r="AU36" i="7"/>
  <c r="AU21" i="7"/>
  <c r="AU24" i="7" s="1"/>
  <c r="AU51" i="7" s="1"/>
  <c r="AU54" i="7" s="1"/>
  <c r="AV54" i="7" l="1"/>
  <c r="B48" i="8"/>
  <c r="B50" i="8" s="1"/>
  <c r="AN48" i="8"/>
  <c r="AN50" i="8" s="1"/>
  <c r="AN23" i="8"/>
  <c r="AW21" i="9"/>
  <c r="AW24" i="9" s="1"/>
  <c r="AW28" i="9" s="1"/>
  <c r="B23" i="8"/>
  <c r="AU12" i="51"/>
  <c r="AU8" i="51"/>
  <c r="AU6" i="51"/>
  <c r="AM46" i="8" l="1"/>
  <c r="AM38" i="8"/>
  <c r="AM28" i="8"/>
  <c r="AM21" i="8"/>
  <c r="AM14" i="8"/>
  <c r="AU8" i="52"/>
  <c r="AU14" i="52" s="1"/>
  <c r="AU16" i="52" s="1"/>
  <c r="AV18" i="9"/>
  <c r="AV6" i="9"/>
  <c r="AV12" i="9" s="1"/>
  <c r="AR18" i="9"/>
  <c r="AR6" i="9"/>
  <c r="AQ8" i="52"/>
  <c r="AQ14" i="52" s="1"/>
  <c r="AQ12" i="1"/>
  <c r="AQ12" i="51"/>
  <c r="AQ8" i="51"/>
  <c r="AQ6" i="51"/>
  <c r="AQ43" i="50"/>
  <c r="AQ37" i="50"/>
  <c r="AQ35" i="50"/>
  <c r="AQ30" i="50"/>
  <c r="AQ28" i="50"/>
  <c r="AQ23" i="50"/>
  <c r="AQ21" i="50"/>
  <c r="AQ16" i="50"/>
  <c r="AQ14" i="50"/>
  <c r="AQ9" i="50"/>
  <c r="AQ7" i="50"/>
  <c r="AM48" i="8" l="1"/>
  <c r="AM50" i="8" s="1"/>
  <c r="AM23" i="8"/>
  <c r="AR12" i="9"/>
  <c r="AR21" i="9" s="1"/>
  <c r="AR24" i="9" s="1"/>
  <c r="AR28" i="9" s="1"/>
  <c r="AV21" i="9"/>
  <c r="AV24" i="9" s="1"/>
  <c r="AV28" i="9" s="1"/>
  <c r="AT10" i="1"/>
  <c r="AT9" i="1"/>
  <c r="AT8" i="1"/>
  <c r="AS16" i="52"/>
  <c r="AQ3" i="52" l="1"/>
  <c r="AQ16" i="52" s="1"/>
  <c r="AS48" i="7"/>
  <c r="AS47" i="7"/>
  <c r="AS46" i="7"/>
  <c r="AS45" i="7"/>
  <c r="AS43" i="7"/>
  <c r="AS41" i="7"/>
  <c r="AS40" i="7"/>
  <c r="AS38" i="7"/>
  <c r="AS35" i="7"/>
  <c r="AS34" i="7"/>
  <c r="AS33" i="7"/>
  <c r="AS31" i="7"/>
  <c r="AS29" i="7"/>
  <c r="AS28" i="7"/>
  <c r="AS26" i="7"/>
  <c r="AS22" i="7"/>
  <c r="AS20" i="7"/>
  <c r="AS19" i="7"/>
  <c r="AS18" i="7"/>
  <c r="AS17" i="7"/>
  <c r="AS16" i="7"/>
  <c r="AS15" i="7"/>
  <c r="AS13" i="7"/>
  <c r="AS12" i="7"/>
  <c r="AS9" i="7"/>
  <c r="AS8" i="7"/>
  <c r="AS7" i="7"/>
  <c r="AS6" i="7"/>
  <c r="AS5" i="7"/>
  <c r="AO40" i="50" l="1"/>
  <c r="AP5" i="50"/>
  <c r="AO7" i="50"/>
  <c r="AS5" i="51" l="1"/>
  <c r="AS4" i="51"/>
  <c r="AP38" i="50" l="1"/>
  <c r="AU35" i="9"/>
  <c r="AS49" i="7"/>
  <c r="AS36" i="7"/>
  <c r="AP3" i="50"/>
  <c r="AP6" i="50"/>
  <c r="AP10" i="50"/>
  <c r="AP12" i="50"/>
  <c r="AP13" i="50"/>
  <c r="AP20" i="50"/>
  <c r="AP19" i="50"/>
  <c r="AP17" i="50"/>
  <c r="AP27" i="50"/>
  <c r="AP26" i="50"/>
  <c r="AP24" i="50"/>
  <c r="AP33" i="50"/>
  <c r="AP31" i="50"/>
  <c r="AP43" i="50" l="1"/>
  <c r="AP37" i="50"/>
  <c r="AP35" i="50"/>
  <c r="AP30" i="50"/>
  <c r="AP28" i="50"/>
  <c r="AP23" i="50"/>
  <c r="AP21" i="50"/>
  <c r="AP16" i="50"/>
  <c r="AP14" i="50"/>
  <c r="AP9" i="50"/>
  <c r="AP7" i="50"/>
  <c r="AO43" i="50"/>
  <c r="AO37" i="50"/>
  <c r="AO35" i="50"/>
  <c r="AO30" i="50"/>
  <c r="AO28" i="50"/>
  <c r="AO23" i="50"/>
  <c r="AO21" i="50"/>
  <c r="AO16" i="50"/>
  <c r="AO14" i="50"/>
  <c r="AO9" i="50"/>
  <c r="AT12" i="51"/>
  <c r="AT8" i="51"/>
  <c r="AT6" i="51"/>
  <c r="AS12" i="51"/>
  <c r="AS8" i="51"/>
  <c r="AS6" i="51"/>
  <c r="AT19" i="52"/>
  <c r="AT18" i="52"/>
  <c r="AT10" i="52"/>
  <c r="AT7" i="52"/>
  <c r="AT6" i="52"/>
  <c r="AT5" i="52"/>
  <c r="AT3" i="52"/>
  <c r="AU34" i="9"/>
  <c r="AU31" i="9"/>
  <c r="AU30" i="9"/>
  <c r="AU27" i="9"/>
  <c r="AU23" i="9"/>
  <c r="AU20" i="9"/>
  <c r="AU17" i="9"/>
  <c r="AU16" i="9"/>
  <c r="AU15" i="9"/>
  <c r="AU14" i="9"/>
  <c r="AU11" i="9"/>
  <c r="AU10" i="9"/>
  <c r="AU9" i="9"/>
  <c r="AU8" i="9"/>
  <c r="AU5" i="9"/>
  <c r="AU4" i="9"/>
  <c r="AL46" i="8" l="1"/>
  <c r="AL38" i="8"/>
  <c r="AL28" i="8"/>
  <c r="AL25" i="8"/>
  <c r="AL21" i="8"/>
  <c r="AL14" i="8"/>
  <c r="AT12" i="52"/>
  <c r="AS12" i="52"/>
  <c r="AU6" i="9"/>
  <c r="AS8" i="52"/>
  <c r="AT18" i="9"/>
  <c r="AT6" i="9"/>
  <c r="AT12" i="9" s="1"/>
  <c r="AR19" i="7"/>
  <c r="AN43" i="50"/>
  <c r="AN37" i="50"/>
  <c r="AN35" i="50"/>
  <c r="AN30" i="50"/>
  <c r="AN28" i="50"/>
  <c r="AN23" i="50"/>
  <c r="AN21" i="50"/>
  <c r="AN16" i="50"/>
  <c r="AN14" i="50"/>
  <c r="AN9" i="50"/>
  <c r="AN7" i="50"/>
  <c r="AR12" i="51"/>
  <c r="AR8" i="51"/>
  <c r="AR6" i="51"/>
  <c r="AR49" i="7"/>
  <c r="AR36" i="7"/>
  <c r="AR21" i="7"/>
  <c r="AR24" i="7" s="1"/>
  <c r="AK46" i="8"/>
  <c r="AK38" i="8"/>
  <c r="AK28" i="8"/>
  <c r="AK25" i="8"/>
  <c r="AK21" i="8"/>
  <c r="AK14" i="8"/>
  <c r="AR8" i="52"/>
  <c r="AR14" i="52" s="1"/>
  <c r="AR16" i="52" s="1"/>
  <c r="AS18" i="9"/>
  <c r="AS6" i="9"/>
  <c r="AS12" i="9" s="1"/>
  <c r="AJ46" i="8"/>
  <c r="AJ38" i="8"/>
  <c r="AJ28" i="8"/>
  <c r="AJ25" i="8"/>
  <c r="AJ21" i="8"/>
  <c r="AJ14" i="8"/>
  <c r="AL48" i="8" l="1"/>
  <c r="AL50" i="8" s="1"/>
  <c r="AL23" i="8"/>
  <c r="AT8" i="52"/>
  <c r="AT14" i="52" s="1"/>
  <c r="AT16" i="52" s="1"/>
  <c r="AS14" i="52"/>
  <c r="AU18" i="9"/>
  <c r="AU12" i="9"/>
  <c r="AT21" i="9"/>
  <c r="AT24" i="9" s="1"/>
  <c r="AT28" i="9" s="1"/>
  <c r="AR51" i="7"/>
  <c r="AK48" i="8"/>
  <c r="AK50" i="8" s="1"/>
  <c r="AK23" i="8"/>
  <c r="AS21" i="9"/>
  <c r="AS24" i="9" s="1"/>
  <c r="AS28" i="9" s="1"/>
  <c r="AJ48" i="8"/>
  <c r="AJ50" i="8" s="1"/>
  <c r="AJ23" i="8"/>
  <c r="AU21" i="9" l="1"/>
  <c r="AU24" i="9" s="1"/>
  <c r="AU28" i="9" s="1"/>
  <c r="AM43" i="50"/>
  <c r="AM37" i="50"/>
  <c r="AM35" i="50"/>
  <c r="AM30" i="50"/>
  <c r="AM28" i="50"/>
  <c r="AM23" i="50"/>
  <c r="AM21" i="50"/>
  <c r="AM16" i="50"/>
  <c r="AM14" i="50"/>
  <c r="AM9" i="50"/>
  <c r="AM7" i="50"/>
  <c r="AP35" i="7"/>
  <c r="AP12" i="51"/>
  <c r="AP8" i="51"/>
  <c r="AP6" i="51"/>
  <c r="AP12" i="1"/>
  <c r="AP49" i="7" l="1"/>
  <c r="AP36" i="7"/>
  <c r="AP21" i="7"/>
  <c r="AP24" i="7" s="1"/>
  <c r="AL43" i="50"/>
  <c r="AL37" i="50"/>
  <c r="AL35" i="50"/>
  <c r="AL30" i="50"/>
  <c r="AL23" i="50"/>
  <c r="AL21" i="50"/>
  <c r="AL16" i="50"/>
  <c r="AL9" i="50"/>
  <c r="AL7" i="50"/>
  <c r="AI46" i="8"/>
  <c r="AI38" i="8"/>
  <c r="AI28" i="8"/>
  <c r="AI25" i="8"/>
  <c r="AI21" i="8"/>
  <c r="AI14" i="8"/>
  <c r="AP8" i="52"/>
  <c r="AP14" i="52" s="1"/>
  <c r="AP16" i="52" s="1"/>
  <c r="AI23" i="8" l="1"/>
  <c r="AP51" i="7"/>
  <c r="AP54" i="7" s="1"/>
  <c r="AI48" i="8"/>
  <c r="AI50" i="8" s="1"/>
  <c r="AR53" i="7" l="1"/>
  <c r="AR54" i="7" s="1"/>
  <c r="AS53" i="7" s="1"/>
  <c r="AQ6" i="9"/>
  <c r="AQ12" i="9" s="1"/>
  <c r="AQ21" i="9" s="1"/>
  <c r="AQ24" i="9" s="1"/>
  <c r="AQ28" i="9" s="1"/>
  <c r="AO40" i="7" l="1"/>
  <c r="AJ31" i="50" l="1"/>
  <c r="AJ26" i="50"/>
  <c r="AJ24" i="50"/>
  <c r="AK33" i="50" l="1"/>
  <c r="AK31" i="50"/>
  <c r="AK35" i="50" s="1"/>
  <c r="AK26" i="50"/>
  <c r="AK24" i="50"/>
  <c r="AK19" i="50"/>
  <c r="AK21" i="50" s="1"/>
  <c r="AK17" i="50"/>
  <c r="AK12" i="50"/>
  <c r="AK10" i="50"/>
  <c r="AK5" i="50"/>
  <c r="AK3" i="50"/>
  <c r="AK43" i="50"/>
  <c r="AK37" i="50"/>
  <c r="AK30" i="50"/>
  <c r="AK23" i="50"/>
  <c r="AK16" i="50"/>
  <c r="AK11" i="50"/>
  <c r="AK9" i="50"/>
  <c r="AJ43" i="50"/>
  <c r="AJ37" i="50"/>
  <c r="AJ35" i="50"/>
  <c r="AJ30" i="50"/>
  <c r="AJ23" i="50"/>
  <c r="AJ21" i="50"/>
  <c r="AJ16" i="50"/>
  <c r="AJ11" i="50"/>
  <c r="AJ14" i="50" s="1"/>
  <c r="AJ9" i="50"/>
  <c r="AJ7" i="50"/>
  <c r="AO11" i="51"/>
  <c r="AO10" i="51"/>
  <c r="AO9" i="51"/>
  <c r="AO5" i="51"/>
  <c r="AO4" i="51"/>
  <c r="AO3" i="51"/>
  <c r="AO12" i="51"/>
  <c r="AO8" i="51"/>
  <c r="AN12" i="51"/>
  <c r="AN8" i="51"/>
  <c r="AN6" i="51"/>
  <c r="AO12" i="1"/>
  <c r="AO48" i="7"/>
  <c r="AO47" i="7"/>
  <c r="AO46" i="7"/>
  <c r="AO45" i="7"/>
  <c r="AO44" i="7"/>
  <c r="AO43" i="7"/>
  <c r="AO41" i="7"/>
  <c r="AO39" i="7"/>
  <c r="AO38" i="7"/>
  <c r="AO35" i="7"/>
  <c r="AO34" i="7"/>
  <c r="AO33" i="7"/>
  <c r="AO31" i="7"/>
  <c r="AO30" i="7"/>
  <c r="AO29" i="7"/>
  <c r="AO28" i="7"/>
  <c r="AO26" i="7"/>
  <c r="AO22" i="7"/>
  <c r="AO20" i="7"/>
  <c r="AO19" i="7"/>
  <c r="AO18" i="7"/>
  <c r="AO17" i="7"/>
  <c r="AO16" i="7"/>
  <c r="AO15" i="7"/>
  <c r="AO13" i="7"/>
  <c r="AO12" i="7"/>
  <c r="AO11" i="7"/>
  <c r="AO8" i="7"/>
  <c r="AO6" i="7"/>
  <c r="AO5" i="7"/>
  <c r="AO3" i="7"/>
  <c r="AK25" i="50" l="1"/>
  <c r="AO6" i="51"/>
  <c r="AK28" i="50"/>
  <c r="AK7" i="50"/>
  <c r="AK14" i="50"/>
  <c r="AJ25" i="50"/>
  <c r="AJ28" i="50" s="1"/>
  <c r="AL28" i="50" l="1"/>
  <c r="AL14" i="50"/>
  <c r="AO49" i="7"/>
  <c r="AO36" i="7"/>
  <c r="AN49" i="7"/>
  <c r="AN36" i="7"/>
  <c r="AN21" i="7"/>
  <c r="AN24" i="7" s="1"/>
  <c r="AP31" i="9"/>
  <c r="AP23" i="9"/>
  <c r="AP20" i="9"/>
  <c r="AP17" i="9"/>
  <c r="AP10" i="9"/>
  <c r="AP9" i="9"/>
  <c r="AP5" i="9"/>
  <c r="AN12" i="1"/>
  <c r="AN51" i="7" l="1"/>
  <c r="AN54" i="7" s="1"/>
  <c r="AH46" i="8"/>
  <c r="AH38" i="8"/>
  <c r="AH28" i="8"/>
  <c r="AH25" i="8"/>
  <c r="AH21" i="8"/>
  <c r="AH14" i="8"/>
  <c r="AN8" i="52"/>
  <c r="AO18" i="9"/>
  <c r="AO6" i="9"/>
  <c r="AO12" i="9" s="1"/>
  <c r="AN14" i="52" l="1"/>
  <c r="AH48" i="8"/>
  <c r="AH50" i="8" s="1"/>
  <c r="AH23" i="8"/>
  <c r="AO21" i="9"/>
  <c r="AO24" i="9" s="1"/>
  <c r="AO28" i="9" s="1"/>
  <c r="W14" i="8"/>
  <c r="AN3" i="52" l="1"/>
  <c r="AN16" i="52" s="1"/>
  <c r="AM6" i="51"/>
  <c r="AI43" i="50" l="1"/>
  <c r="AI37" i="50"/>
  <c r="AI35" i="50"/>
  <c r="AI30" i="50"/>
  <c r="AI23" i="50"/>
  <c r="AI21" i="50"/>
  <c r="AI16" i="50"/>
  <c r="AI14" i="50"/>
  <c r="AI11" i="50"/>
  <c r="AI25" i="50" s="1"/>
  <c r="AI28" i="50" s="1"/>
  <c r="AI9" i="50"/>
  <c r="AI7" i="50"/>
  <c r="AG46" i="8" l="1"/>
  <c r="AG38" i="8"/>
  <c r="AG28" i="8"/>
  <c r="AG25" i="8"/>
  <c r="AG21" i="8"/>
  <c r="AG14" i="8"/>
  <c r="AH11" i="50"/>
  <c r="AG11" i="50"/>
  <c r="AC11" i="50"/>
  <c r="AB11" i="50"/>
  <c r="AA11" i="50"/>
  <c r="AM49" i="7"/>
  <c r="AM36" i="7"/>
  <c r="AM21" i="7"/>
  <c r="AM24" i="7" s="1"/>
  <c r="AM12" i="1"/>
  <c r="AM12" i="51"/>
  <c r="AM8" i="51"/>
  <c r="AM8" i="52"/>
  <c r="AM14" i="52" s="1"/>
  <c r="AN18" i="9"/>
  <c r="AN6" i="9"/>
  <c r="AN12" i="9" s="1"/>
  <c r="AG48" i="8" l="1"/>
  <c r="AG50" i="8" s="1"/>
  <c r="AG23" i="8"/>
  <c r="AM51" i="7"/>
  <c r="AN21" i="9"/>
  <c r="AN24" i="9" s="1"/>
  <c r="AN28" i="9" s="1"/>
  <c r="AH3" i="50"/>
  <c r="AL4" i="51"/>
  <c r="AL3" i="51"/>
  <c r="AF35" i="8"/>
  <c r="AN30" i="9" l="1"/>
  <c r="AM3" i="52"/>
  <c r="AL19" i="52"/>
  <c r="AL7" i="52"/>
  <c r="AO7" i="52" s="1"/>
  <c r="AL6" i="52"/>
  <c r="AO6" i="52" s="1"/>
  <c r="AL5" i="52"/>
  <c r="AO5" i="52" s="1"/>
  <c r="AM16" i="52" l="1"/>
  <c r="AM16" i="9"/>
  <c r="AM11" i="9"/>
  <c r="AP11" i="9" s="1"/>
  <c r="AM8" i="9"/>
  <c r="AP8" i="9" s="1"/>
  <c r="AM4" i="9"/>
  <c r="AP4" i="9" s="1"/>
  <c r="AP6" i="9" s="1"/>
  <c r="AP12" i="9" s="1"/>
  <c r="AH35" i="50" l="1"/>
  <c r="AH9" i="50" l="1"/>
  <c r="AH43" i="50"/>
  <c r="AH37" i="50"/>
  <c r="AH30" i="50"/>
  <c r="AH26" i="50"/>
  <c r="AH25" i="50"/>
  <c r="AH24" i="50"/>
  <c r="AH23" i="50"/>
  <c r="AH21" i="50"/>
  <c r="AH16" i="50"/>
  <c r="AH14" i="50"/>
  <c r="AH7" i="50"/>
  <c r="AL12" i="51"/>
  <c r="AL8" i="51"/>
  <c r="AL6" i="51"/>
  <c r="AL12" i="1"/>
  <c r="AL49" i="7"/>
  <c r="AL36" i="7"/>
  <c r="AL21" i="7"/>
  <c r="AL24" i="7" s="1"/>
  <c r="AF46" i="8"/>
  <c r="AF38" i="8"/>
  <c r="AF28" i="8"/>
  <c r="AF25" i="8"/>
  <c r="AF21" i="8"/>
  <c r="AF14" i="8"/>
  <c r="AL8" i="52"/>
  <c r="AM6" i="9"/>
  <c r="AM18" i="9"/>
  <c r="AL15" i="9"/>
  <c r="AK9" i="7"/>
  <c r="AO9" i="7" s="1"/>
  <c r="AK7" i="7"/>
  <c r="AO7" i="7" s="1"/>
  <c r="AO21" i="7" s="1"/>
  <c r="AO24" i="7" s="1"/>
  <c r="AO51" i="7" s="1"/>
  <c r="AO54" i="7" s="1"/>
  <c r="AL16" i="9"/>
  <c r="AP16" i="9" s="1"/>
  <c r="AP18" i="9" s="1"/>
  <c r="AP21" i="9" s="1"/>
  <c r="AP24" i="9" s="1"/>
  <c r="AP28" i="9" s="1"/>
  <c r="AO3" i="52" s="1"/>
  <c r="AL14" i="52" l="1"/>
  <c r="AM12" i="9"/>
  <c r="AH28" i="50"/>
  <c r="AL51" i="7"/>
  <c r="AF48" i="8"/>
  <c r="AF50" i="8" s="1"/>
  <c r="AF23" i="8"/>
  <c r="AM21" i="9"/>
  <c r="AG24" i="50"/>
  <c r="AG25" i="50"/>
  <c r="AG26" i="50"/>
  <c r="AG43" i="50"/>
  <c r="AG37" i="50"/>
  <c r="AG35" i="50"/>
  <c r="AG30" i="50"/>
  <c r="AG23" i="50"/>
  <c r="AG21" i="50"/>
  <c r="AG16" i="50"/>
  <c r="AG14" i="50"/>
  <c r="AG7" i="50"/>
  <c r="AK12" i="51"/>
  <c r="AK8" i="51"/>
  <c r="AK6" i="51"/>
  <c r="AK12" i="1"/>
  <c r="AI3" i="7"/>
  <c r="AK49" i="7"/>
  <c r="AK36" i="7"/>
  <c r="AK21" i="7"/>
  <c r="AK24" i="7" s="1"/>
  <c r="AE46" i="8"/>
  <c r="AE38" i="8"/>
  <c r="AE28" i="8"/>
  <c r="AE25" i="8"/>
  <c r="AE21" i="8"/>
  <c r="AE14" i="8"/>
  <c r="AK8" i="52"/>
  <c r="AO8" i="52" s="1"/>
  <c r="AO14" i="52" s="1"/>
  <c r="AO16" i="52" s="1"/>
  <c r="AL18" i="9"/>
  <c r="AL6" i="9"/>
  <c r="AL12" i="9" s="1"/>
  <c r="AM24" i="9" l="1"/>
  <c r="AL21" i="9"/>
  <c r="AL24" i="9" s="1"/>
  <c r="AL28" i="9" s="1"/>
  <c r="AL30" i="9" s="1"/>
  <c r="AG28" i="50"/>
  <c r="AK51" i="7"/>
  <c r="AE48" i="8"/>
  <c r="AE50" i="8" s="1"/>
  <c r="AE23" i="8"/>
  <c r="AK14" i="52"/>
  <c r="AM28" i="9" l="1"/>
  <c r="AK3" i="52"/>
  <c r="AK16" i="52" s="1"/>
  <c r="AK18" i="52" s="1"/>
  <c r="AM30" i="9" l="1"/>
  <c r="AP30" i="9" s="1"/>
  <c r="AL3" i="52"/>
  <c r="AL16" i="52" s="1"/>
  <c r="AG45" i="7"/>
  <c r="AL18" i="52" l="1"/>
  <c r="AO18" i="52" s="1"/>
  <c r="AH31" i="7"/>
  <c r="AG31" i="7"/>
  <c r="AI15" i="7" l="1"/>
  <c r="AI10" i="7"/>
  <c r="AI48" i="7"/>
  <c r="AI47" i="7"/>
  <c r="AI46" i="7"/>
  <c r="AI45" i="7"/>
  <c r="AI44" i="7"/>
  <c r="AI43" i="7"/>
  <c r="AI42" i="7"/>
  <c r="AI41" i="7"/>
  <c r="AI39" i="7"/>
  <c r="AI38" i="7"/>
  <c r="AI35" i="7"/>
  <c r="AI34" i="7"/>
  <c r="AI33" i="7"/>
  <c r="AI32" i="7"/>
  <c r="AI31" i="7"/>
  <c r="AI30" i="7"/>
  <c r="AI29" i="7"/>
  <c r="AI28" i="7"/>
  <c r="AI27" i="7"/>
  <c r="AI26" i="7"/>
  <c r="AI22" i="7"/>
  <c r="AI5" i="7"/>
  <c r="AI7" i="7"/>
  <c r="AI8" i="7"/>
  <c r="AI9" i="7"/>
  <c r="AI11" i="7"/>
  <c r="AI13" i="7"/>
  <c r="AI17" i="7"/>
  <c r="AI18" i="7"/>
  <c r="AI19" i="7"/>
  <c r="AI20" i="7"/>
  <c r="AI49" i="7" l="1"/>
  <c r="AF39" i="50"/>
  <c r="AF40" i="50"/>
  <c r="AF41" i="50"/>
  <c r="AF42" i="50"/>
  <c r="AF38" i="50"/>
  <c r="AA38" i="50"/>
  <c r="AJ19" i="52" l="1"/>
  <c r="AF31" i="50" l="1"/>
  <c r="AF34" i="50"/>
  <c r="AF33" i="50"/>
  <c r="AF32" i="50"/>
  <c r="AF20" i="50"/>
  <c r="AF19" i="50"/>
  <c r="AF26" i="50" s="1"/>
  <c r="AF18" i="50"/>
  <c r="AF13" i="50"/>
  <c r="AF12" i="50"/>
  <c r="AF11" i="50"/>
  <c r="AF10" i="50"/>
  <c r="AF4" i="50"/>
  <c r="AF5" i="50"/>
  <c r="AF6" i="50"/>
  <c r="AF3" i="50"/>
  <c r="AA3" i="50"/>
  <c r="AF37" i="50"/>
  <c r="AF30" i="50"/>
  <c r="AF23" i="50"/>
  <c r="AF16" i="50"/>
  <c r="AF9" i="50"/>
  <c r="AE43" i="50"/>
  <c r="AE37" i="50"/>
  <c r="AE35" i="50"/>
  <c r="AE30" i="50"/>
  <c r="AE27" i="50"/>
  <c r="AE26" i="50"/>
  <c r="AE25" i="50"/>
  <c r="AE24" i="50"/>
  <c r="AE23" i="50"/>
  <c r="AE21" i="50"/>
  <c r="AE16" i="50"/>
  <c r="AE14" i="50"/>
  <c r="AE9" i="50"/>
  <c r="AE7" i="50"/>
  <c r="AJ10" i="51"/>
  <c r="AE10" i="51"/>
  <c r="AE9" i="51"/>
  <c r="AJ4" i="51"/>
  <c r="AJ5" i="51"/>
  <c r="AJ3" i="51"/>
  <c r="AE3" i="51"/>
  <c r="AJ8" i="51"/>
  <c r="AI12" i="51"/>
  <c r="AI8" i="51"/>
  <c r="AI6" i="51"/>
  <c r="AI12" i="1"/>
  <c r="AJ12" i="1"/>
  <c r="AD46" i="8"/>
  <c r="AD38" i="8"/>
  <c r="AD28" i="8"/>
  <c r="AD25" i="8"/>
  <c r="AD21" i="8"/>
  <c r="AD14" i="8"/>
  <c r="AJ10" i="52"/>
  <c r="AJ12" i="52" s="1"/>
  <c r="AJ6" i="52"/>
  <c r="AJ7" i="52"/>
  <c r="AJ5" i="52"/>
  <c r="AI12" i="52"/>
  <c r="AI8" i="52"/>
  <c r="AF31" i="9"/>
  <c r="AK27" i="9"/>
  <c r="AK23" i="9"/>
  <c r="AK20" i="9"/>
  <c r="AK15" i="9"/>
  <c r="AK16" i="9"/>
  <c r="AK17" i="9"/>
  <c r="AK14" i="9"/>
  <c r="AK9" i="9"/>
  <c r="AK10" i="9"/>
  <c r="AK8" i="9"/>
  <c r="AK5" i="9"/>
  <c r="AK4" i="9"/>
  <c r="AJ18" i="9"/>
  <c r="AJ6" i="9"/>
  <c r="AJ12" i="9" s="1"/>
  <c r="AI36" i="7"/>
  <c r="AC14" i="8"/>
  <c r="AC35" i="8"/>
  <c r="AH16" i="7"/>
  <c r="AJ49" i="7" l="1"/>
  <c r="AF25" i="50"/>
  <c r="AF27" i="50"/>
  <c r="AJ8" i="52"/>
  <c r="AJ21" i="9"/>
  <c r="AJ24" i="9" s="1"/>
  <c r="AJ28" i="9" s="1"/>
  <c r="AI3" i="52" s="1"/>
  <c r="AK6" i="9"/>
  <c r="AF43" i="50"/>
  <c r="AF35" i="50"/>
  <c r="AE28" i="50"/>
  <c r="AF14" i="50"/>
  <c r="AF7" i="50"/>
  <c r="AJ12" i="51"/>
  <c r="AJ6" i="51"/>
  <c r="AD23" i="8"/>
  <c r="AD48" i="8"/>
  <c r="AD50" i="8" s="1"/>
  <c r="AI14" i="52"/>
  <c r="AJ14" i="52"/>
  <c r="AK18" i="9"/>
  <c r="AJ36" i="7"/>
  <c r="AC38" i="8"/>
  <c r="AH12" i="51"/>
  <c r="AH8" i="51"/>
  <c r="AH6" i="51"/>
  <c r="AH12" i="1"/>
  <c r="AH49" i="7"/>
  <c r="AH36" i="7"/>
  <c r="AH21" i="7"/>
  <c r="AH24" i="7" s="1"/>
  <c r="AC46" i="8"/>
  <c r="AC28" i="8"/>
  <c r="AC25" i="8"/>
  <c r="AC21" i="8"/>
  <c r="AH8" i="52"/>
  <c r="AI18" i="9"/>
  <c r="AI6" i="9"/>
  <c r="AI12" i="9" s="1"/>
  <c r="AD24" i="50"/>
  <c r="AD43" i="50"/>
  <c r="AD37" i="50"/>
  <c r="AD35" i="50"/>
  <c r="AD30" i="50"/>
  <c r="AD27" i="50"/>
  <c r="AD26" i="50"/>
  <c r="AD25" i="50"/>
  <c r="AD23" i="50"/>
  <c r="AD21" i="50"/>
  <c r="AD16" i="50"/>
  <c r="AD14" i="50"/>
  <c r="AD9" i="50"/>
  <c r="AD7" i="50"/>
  <c r="AB35" i="8"/>
  <c r="AA35" i="8"/>
  <c r="AI16" i="52" l="1"/>
  <c r="AI18" i="52" s="1"/>
  <c r="AJ30" i="9"/>
  <c r="AH51" i="7"/>
  <c r="AC48" i="8"/>
  <c r="AC50" i="8" s="1"/>
  <c r="AC23" i="8"/>
  <c r="AH14" i="52"/>
  <c r="AI21" i="9"/>
  <c r="AI24" i="9" s="1"/>
  <c r="AI28" i="9" s="1"/>
  <c r="AD28" i="50"/>
  <c r="AG21" i="7"/>
  <c r="AH3" i="52" l="1"/>
  <c r="AH16" i="52" s="1"/>
  <c r="AC43" i="50"/>
  <c r="AC37" i="50"/>
  <c r="AC35" i="50"/>
  <c r="AC30" i="50"/>
  <c r="AC27" i="50"/>
  <c r="AC26" i="50"/>
  <c r="AC25" i="50"/>
  <c r="AC24" i="50"/>
  <c r="AC23" i="50"/>
  <c r="AC21" i="50"/>
  <c r="AC16" i="50"/>
  <c r="AC14" i="50"/>
  <c r="AC9" i="50"/>
  <c r="AC7" i="50"/>
  <c r="AG12" i="51"/>
  <c r="AG8" i="51"/>
  <c r="AG6" i="51"/>
  <c r="AG12" i="1"/>
  <c r="AG49" i="7"/>
  <c r="AG36" i="7"/>
  <c r="AG24" i="7"/>
  <c r="AB46" i="8"/>
  <c r="AB38" i="8"/>
  <c r="AB28" i="8"/>
  <c r="AB25" i="8"/>
  <c r="AB21" i="8"/>
  <c r="AB14" i="8"/>
  <c r="AG8" i="52"/>
  <c r="AH18" i="9"/>
  <c r="AH6" i="9"/>
  <c r="AH12" i="9" s="1"/>
  <c r="AF6" i="7"/>
  <c r="AI6" i="7" s="1"/>
  <c r="AF12" i="7"/>
  <c r="AI12" i="7" s="1"/>
  <c r="AG11" i="9"/>
  <c r="AK11" i="9" s="1"/>
  <c r="AK12" i="9" s="1"/>
  <c r="AK21" i="9" s="1"/>
  <c r="AK24" i="9" s="1"/>
  <c r="AK28" i="9" s="1"/>
  <c r="AK30" i="9" s="1"/>
  <c r="AB38" i="50"/>
  <c r="AJ3" i="52" l="1"/>
  <c r="AJ16" i="52" s="1"/>
  <c r="AJ18" i="52" s="1"/>
  <c r="AG14" i="52"/>
  <c r="AC28" i="50"/>
  <c r="AB48" i="8"/>
  <c r="AB50" i="8" s="1"/>
  <c r="AB23" i="8"/>
  <c r="AH21" i="9"/>
  <c r="AG51" i="7"/>
  <c r="AB25" i="50"/>
  <c r="AB26" i="50"/>
  <c r="AB27" i="50"/>
  <c r="AB17" i="50"/>
  <c r="AF17" i="50" s="1"/>
  <c r="AF21" i="50" l="1"/>
  <c r="AF24" i="50"/>
  <c r="AF28" i="50" s="1"/>
  <c r="AB24" i="50"/>
  <c r="AB28" i="50" s="1"/>
  <c r="AH24" i="9"/>
  <c r="AF49" i="7"/>
  <c r="AB43" i="50"/>
  <c r="AB37" i="50"/>
  <c r="AB35" i="50"/>
  <c r="AB30" i="50"/>
  <c r="AB23" i="50"/>
  <c r="AB21" i="50"/>
  <c r="AB16" i="50"/>
  <c r="AB14" i="50"/>
  <c r="AB9" i="50"/>
  <c r="AB7" i="50"/>
  <c r="AF12" i="51"/>
  <c r="AF8" i="51"/>
  <c r="AF6" i="51"/>
  <c r="AF12" i="1"/>
  <c r="AF36" i="7"/>
  <c r="AF21" i="7"/>
  <c r="AF24" i="7" s="1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AA46" i="8"/>
  <c r="AA38" i="8"/>
  <c r="AA28" i="8"/>
  <c r="AA25" i="8"/>
  <c r="AA21" i="8"/>
  <c r="AA14" i="8"/>
  <c r="AF12" i="52"/>
  <c r="AF8" i="52"/>
  <c r="AG18" i="9"/>
  <c r="AG6" i="9"/>
  <c r="AG12" i="9" s="1"/>
  <c r="Z35" i="8"/>
  <c r="Z40" i="8"/>
  <c r="Z30" i="8"/>
  <c r="AH28" i="9" l="1"/>
  <c r="AA48" i="8"/>
  <c r="AA50" i="8" s="1"/>
  <c r="AA23" i="8"/>
  <c r="AF14" i="52"/>
  <c r="AG21" i="9"/>
  <c r="AG24" i="9" s="1"/>
  <c r="AG28" i="9" s="1"/>
  <c r="AG30" i="9" s="1"/>
  <c r="AF51" i="7"/>
  <c r="F7" i="52"/>
  <c r="F5" i="52"/>
  <c r="Z19" i="52"/>
  <c r="U19" i="52"/>
  <c r="P19" i="52"/>
  <c r="K19" i="52"/>
  <c r="AH30" i="9" l="1"/>
  <c r="AG3" i="52"/>
  <c r="AG16" i="52" s="1"/>
  <c r="AF3" i="52"/>
  <c r="AF16" i="52" s="1"/>
  <c r="AF18" i="52" s="1"/>
  <c r="B12" i="52"/>
  <c r="B8" i="52"/>
  <c r="AE12" i="52"/>
  <c r="AD12" i="52"/>
  <c r="Z12" i="52"/>
  <c r="Y12" i="52"/>
  <c r="X12" i="52"/>
  <c r="W12" i="52"/>
  <c r="V12" i="52"/>
  <c r="U12" i="52"/>
  <c r="T12" i="52"/>
  <c r="S12" i="52"/>
  <c r="R12" i="52"/>
  <c r="Q12" i="52"/>
  <c r="P12" i="52"/>
  <c r="O12" i="52"/>
  <c r="N12" i="52"/>
  <c r="M12" i="52"/>
  <c r="L12" i="52"/>
  <c r="K12" i="52"/>
  <c r="J12" i="52"/>
  <c r="I12" i="52"/>
  <c r="H12" i="52"/>
  <c r="G12" i="52"/>
  <c r="F12" i="52"/>
  <c r="E12" i="52"/>
  <c r="D12" i="52"/>
  <c r="AE8" i="52"/>
  <c r="AD8" i="52"/>
  <c r="AC8" i="52"/>
  <c r="AB8" i="52"/>
  <c r="AA8" i="52"/>
  <c r="Z8" i="52"/>
  <c r="Y8" i="52"/>
  <c r="X8" i="52"/>
  <c r="W8" i="52"/>
  <c r="V8" i="52"/>
  <c r="U8" i="52"/>
  <c r="T8" i="52"/>
  <c r="T14" i="52" s="1"/>
  <c r="S8" i="52"/>
  <c r="R8" i="52"/>
  <c r="Q8" i="52"/>
  <c r="P8" i="52"/>
  <c r="O8" i="52"/>
  <c r="N8" i="52"/>
  <c r="M8" i="52"/>
  <c r="L8" i="52"/>
  <c r="L14" i="52" s="1"/>
  <c r="K8" i="52"/>
  <c r="J8" i="52"/>
  <c r="I8" i="52"/>
  <c r="H8" i="52"/>
  <c r="G8" i="52"/>
  <c r="F8" i="52"/>
  <c r="E8" i="52"/>
  <c r="D8" i="52"/>
  <c r="C12" i="52"/>
  <c r="C8" i="52"/>
  <c r="C14" i="52" s="1"/>
  <c r="Z14" i="52" l="1"/>
  <c r="D14" i="52"/>
  <c r="M14" i="52"/>
  <c r="R14" i="52"/>
  <c r="K14" i="52"/>
  <c r="S14" i="52"/>
  <c r="AA14" i="52"/>
  <c r="AB14" i="52"/>
  <c r="AC14" i="52"/>
  <c r="U14" i="52"/>
  <c r="AE14" i="52"/>
  <c r="J14" i="52"/>
  <c r="E14" i="52"/>
  <c r="N14" i="52"/>
  <c r="G14" i="52"/>
  <c r="F14" i="52"/>
  <c r="AD14" i="52"/>
  <c r="O14" i="52"/>
  <c r="H14" i="52"/>
  <c r="P14" i="52"/>
  <c r="X14" i="52"/>
  <c r="V14" i="52"/>
  <c r="W14" i="52"/>
  <c r="I14" i="52"/>
  <c r="Q14" i="52"/>
  <c r="Y14" i="52"/>
  <c r="B14" i="52"/>
  <c r="Y10" i="1"/>
  <c r="V10" i="1"/>
  <c r="AE35" i="9"/>
  <c r="AD35" i="9"/>
  <c r="AC35" i="9"/>
  <c r="Z35" i="9"/>
  <c r="W35" i="9"/>
  <c r="Z10" i="1" l="1"/>
  <c r="AA35" i="9" l="1"/>
  <c r="AA31" i="9"/>
  <c r="Z29" i="7"/>
  <c r="AA29" i="7" s="1"/>
  <c r="Z30" i="7"/>
  <c r="AA30" i="7" s="1"/>
  <c r="W12" i="1"/>
  <c r="X12" i="1"/>
  <c r="Y12" i="1"/>
  <c r="Z12" i="1"/>
  <c r="AA12" i="1"/>
  <c r="AB12" i="1"/>
  <c r="AC12" i="1"/>
  <c r="AD12" i="1"/>
  <c r="AE12" i="1"/>
  <c r="AD10" i="1"/>
  <c r="AD35" i="7"/>
  <c r="AD36" i="7" s="1"/>
  <c r="AA35" i="7"/>
  <c r="AA33" i="7"/>
  <c r="Z24" i="50"/>
  <c r="Z28" i="50"/>
  <c r="Z10" i="50"/>
  <c r="Z14" i="50" s="1"/>
  <c r="Z46" i="8"/>
  <c r="Z26" i="8"/>
  <c r="Z28" i="8" s="1"/>
  <c r="Z10" i="8"/>
  <c r="Z14" i="8" s="1"/>
  <c r="Y26" i="8"/>
  <c r="Y28" i="8" s="1"/>
  <c r="AE23" i="9"/>
  <c r="AF23" i="9"/>
  <c r="AE5" i="9"/>
  <c r="AA42" i="50"/>
  <c r="AA41" i="50"/>
  <c r="AA40" i="50"/>
  <c r="AA39" i="50"/>
  <c r="AA43" i="50" s="1"/>
  <c r="AA34" i="50"/>
  <c r="AA35" i="50" s="1"/>
  <c r="AA33" i="50"/>
  <c r="AA32" i="50"/>
  <c r="AA31" i="50"/>
  <c r="AA27" i="50"/>
  <c r="AA26" i="50"/>
  <c r="AA25" i="50"/>
  <c r="AA24" i="50"/>
  <c r="AA20" i="50"/>
  <c r="AA19" i="50"/>
  <c r="AA18" i="50"/>
  <c r="AA17" i="50"/>
  <c r="AA13" i="50"/>
  <c r="AA12" i="50"/>
  <c r="AA4" i="50"/>
  <c r="AA5" i="50"/>
  <c r="AA6" i="50"/>
  <c r="AA37" i="50"/>
  <c r="AA30" i="50"/>
  <c r="AA23" i="50"/>
  <c r="AA16" i="50"/>
  <c r="AA9" i="50"/>
  <c r="AE11" i="51"/>
  <c r="AE5" i="51"/>
  <c r="AE4" i="51"/>
  <c r="AE6" i="51"/>
  <c r="AE8" i="51"/>
  <c r="AE49" i="7"/>
  <c r="AE36" i="7"/>
  <c r="AE21" i="7"/>
  <c r="AE24" i="7" s="1"/>
  <c r="Y42" i="8"/>
  <c r="Y45" i="8"/>
  <c r="X45" i="8"/>
  <c r="X46" i="8"/>
  <c r="W45" i="8"/>
  <c r="W46" i="8" s="1"/>
  <c r="V46" i="8"/>
  <c r="U46" i="8"/>
  <c r="T46" i="8"/>
  <c r="S46" i="8"/>
  <c r="R46" i="8"/>
  <c r="Q46" i="8"/>
  <c r="P46" i="8"/>
  <c r="O46" i="8"/>
  <c r="N46" i="8"/>
  <c r="M40" i="8"/>
  <c r="M46" i="8" s="1"/>
  <c r="L46" i="8"/>
  <c r="K46" i="8"/>
  <c r="J46" i="8"/>
  <c r="I46" i="8"/>
  <c r="H46" i="8"/>
  <c r="G46" i="8"/>
  <c r="F46" i="8"/>
  <c r="E46" i="8"/>
  <c r="D46" i="8"/>
  <c r="C46" i="8"/>
  <c r="AF5" i="9"/>
  <c r="AF8" i="9"/>
  <c r="AF9" i="9"/>
  <c r="AF10" i="9"/>
  <c r="AF11" i="9"/>
  <c r="AF14" i="9"/>
  <c r="AF16" i="9"/>
  <c r="AF20" i="9"/>
  <c r="AF27" i="9"/>
  <c r="AF4" i="9"/>
  <c r="Z43" i="50"/>
  <c r="Z37" i="50"/>
  <c r="Z35" i="50"/>
  <c r="Z30" i="50"/>
  <c r="Z23" i="50"/>
  <c r="Z21" i="50"/>
  <c r="Z16" i="50"/>
  <c r="Z9" i="50"/>
  <c r="Z7" i="50"/>
  <c r="AD12" i="51"/>
  <c r="AD8" i="51"/>
  <c r="AD6" i="51"/>
  <c r="Z34" i="8"/>
  <c r="Z38" i="8" s="1"/>
  <c r="Z25" i="8"/>
  <c r="Z21" i="8"/>
  <c r="AE18" i="9"/>
  <c r="AE6" i="9"/>
  <c r="AE12" i="9"/>
  <c r="AD21" i="7"/>
  <c r="AD24" i="7" s="1"/>
  <c r="AA10" i="50"/>
  <c r="AA21" i="50"/>
  <c r="AE12" i="51"/>
  <c r="AE21" i="9"/>
  <c r="AE24" i="9" s="1"/>
  <c r="AC20" i="7"/>
  <c r="AC21" i="7" s="1"/>
  <c r="AC24" i="7" s="1"/>
  <c r="Y40" i="50"/>
  <c r="Y41" i="50"/>
  <c r="Y7" i="8"/>
  <c r="Y5" i="8"/>
  <c r="AC47" i="7"/>
  <c r="AC49" i="7" s="1"/>
  <c r="AC35" i="7"/>
  <c r="AB49" i="7"/>
  <c r="Y49" i="7"/>
  <c r="X49" i="7"/>
  <c r="W49" i="7"/>
  <c r="V49" i="7"/>
  <c r="U49" i="7"/>
  <c r="T49" i="7"/>
  <c r="P49" i="7"/>
  <c r="O49" i="7"/>
  <c r="N49" i="7"/>
  <c r="M49" i="7"/>
  <c r="L49" i="7"/>
  <c r="K49" i="7"/>
  <c r="J49" i="7"/>
  <c r="I49" i="7"/>
  <c r="H49" i="7"/>
  <c r="G49" i="7"/>
  <c r="E49" i="7"/>
  <c r="D49" i="7"/>
  <c r="C49" i="7"/>
  <c r="B49" i="7"/>
  <c r="Z48" i="7"/>
  <c r="F48" i="7"/>
  <c r="Z47" i="7"/>
  <c r="F47" i="7"/>
  <c r="Z45" i="7"/>
  <c r="F45" i="7"/>
  <c r="AA44" i="7"/>
  <c r="AA49" i="7" s="1"/>
  <c r="Z44" i="7"/>
  <c r="F44" i="7"/>
  <c r="Z43" i="7"/>
  <c r="S43" i="7"/>
  <c r="S49" i="7" s="1"/>
  <c r="R43" i="7"/>
  <c r="R49" i="7" s="1"/>
  <c r="F43" i="7"/>
  <c r="Z42" i="7"/>
  <c r="F42" i="7"/>
  <c r="Z41" i="7"/>
  <c r="Q41" i="7"/>
  <c r="Q49" i="7" s="1"/>
  <c r="F41" i="7"/>
  <c r="Z39" i="7"/>
  <c r="F39" i="7"/>
  <c r="Z38" i="7"/>
  <c r="F38" i="7"/>
  <c r="Y36" i="7"/>
  <c r="X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D36" i="7"/>
  <c r="C36" i="7"/>
  <c r="B36" i="7"/>
  <c r="W35" i="7"/>
  <c r="Z35" i="7" s="1"/>
  <c r="E35" i="7"/>
  <c r="E36" i="7" s="1"/>
  <c r="Z33" i="7"/>
  <c r="F33" i="7"/>
  <c r="V32" i="7"/>
  <c r="Z32" i="7" s="1"/>
  <c r="F32" i="7"/>
  <c r="Z28" i="7"/>
  <c r="F28" i="7"/>
  <c r="Z27" i="7"/>
  <c r="F27" i="7"/>
  <c r="AA26" i="7"/>
  <c r="Z26" i="7"/>
  <c r="F26" i="7"/>
  <c r="P24" i="7"/>
  <c r="O24" i="7"/>
  <c r="N24" i="7"/>
  <c r="M24" i="7"/>
  <c r="L24" i="7"/>
  <c r="J24" i="7"/>
  <c r="I24" i="7"/>
  <c r="H24" i="7"/>
  <c r="V23" i="7"/>
  <c r="Z23" i="7" s="1"/>
  <c r="F23" i="7"/>
  <c r="Z22" i="7"/>
  <c r="E22" i="7"/>
  <c r="F22" i="7" s="1"/>
  <c r="Y19" i="7"/>
  <c r="Y21" i="7" s="1"/>
  <c r="Y24" i="7" s="1"/>
  <c r="X19" i="7"/>
  <c r="X21" i="7" s="1"/>
  <c r="X24" i="7" s="1"/>
  <c r="W19" i="7"/>
  <c r="V19" i="7"/>
  <c r="Z19" i="7" s="1"/>
  <c r="U19" i="7"/>
  <c r="U21" i="7" s="1"/>
  <c r="U24" i="7" s="1"/>
  <c r="T19" i="7"/>
  <c r="S19" i="7"/>
  <c r="S21" i="7" s="1"/>
  <c r="S24" i="7" s="1"/>
  <c r="R19" i="7"/>
  <c r="R21" i="7" s="1"/>
  <c r="R24" i="7" s="1"/>
  <c r="Q19" i="7"/>
  <c r="Q21" i="7" s="1"/>
  <c r="Q24" i="7" s="1"/>
  <c r="Q51" i="7" s="1"/>
  <c r="Q54" i="7" s="1"/>
  <c r="K19" i="7"/>
  <c r="K24" i="7" s="1"/>
  <c r="G19" i="7"/>
  <c r="G24" i="7" s="1"/>
  <c r="B19" i="7"/>
  <c r="B24" i="7" s="1"/>
  <c r="Z18" i="7"/>
  <c r="E18" i="7"/>
  <c r="D18" i="7"/>
  <c r="C18" i="7"/>
  <c r="W17" i="7"/>
  <c r="Z17" i="7" s="1"/>
  <c r="E17" i="7"/>
  <c r="D17" i="7"/>
  <c r="C17" i="7"/>
  <c r="Z16" i="7"/>
  <c r="E16" i="7"/>
  <c r="D16" i="7"/>
  <c r="C16" i="7"/>
  <c r="Z15" i="7"/>
  <c r="F15" i="7"/>
  <c r="AB13" i="7"/>
  <c r="AA13" i="7"/>
  <c r="Z13" i="7"/>
  <c r="T13" i="7"/>
  <c r="T21" i="7" s="1"/>
  <c r="T24" i="7" s="1"/>
  <c r="F13" i="7"/>
  <c r="Z12" i="7"/>
  <c r="F12" i="7"/>
  <c r="V11" i="7"/>
  <c r="Z11" i="7" s="1"/>
  <c r="F11" i="7"/>
  <c r="Z10" i="7"/>
  <c r="V9" i="7"/>
  <c r="Z8" i="7"/>
  <c r="AB7" i="7"/>
  <c r="AA7" i="7"/>
  <c r="Z7" i="7"/>
  <c r="V6" i="7"/>
  <c r="Z6" i="7" s="1"/>
  <c r="AB5" i="7"/>
  <c r="Z5" i="7"/>
  <c r="W3" i="7"/>
  <c r="Z3" i="7" s="1"/>
  <c r="Z9" i="7"/>
  <c r="Y4" i="8"/>
  <c r="AC7" i="1"/>
  <c r="Y30" i="8"/>
  <c r="AD15" i="9"/>
  <c r="AD18" i="9" s="1"/>
  <c r="AF18" i="9" s="1"/>
  <c r="Y43" i="50"/>
  <c r="Y37" i="50"/>
  <c r="Y35" i="50"/>
  <c r="Y30" i="50"/>
  <c r="Y28" i="50"/>
  <c r="Y23" i="50"/>
  <c r="Y21" i="50"/>
  <c r="Y16" i="50"/>
  <c r="Y14" i="50"/>
  <c r="Y9" i="50"/>
  <c r="Y7" i="50"/>
  <c r="AC12" i="51"/>
  <c r="AC8" i="51"/>
  <c r="AC6" i="51"/>
  <c r="Y34" i="8"/>
  <c r="Y25" i="8"/>
  <c r="Y21" i="8"/>
  <c r="AD6" i="9"/>
  <c r="X40" i="50"/>
  <c r="X43" i="50" s="1"/>
  <c r="AB10" i="51"/>
  <c r="X27" i="8"/>
  <c r="X26" i="8"/>
  <c r="X28" i="8" s="1"/>
  <c r="X7" i="8"/>
  <c r="X14" i="8" s="1"/>
  <c r="X34" i="8"/>
  <c r="X38" i="8" s="1"/>
  <c r="X48" i="8" s="1"/>
  <c r="W34" i="8"/>
  <c r="X35" i="8"/>
  <c r="W35" i="8"/>
  <c r="X37" i="50"/>
  <c r="X30" i="50"/>
  <c r="X23" i="50"/>
  <c r="X16" i="50"/>
  <c r="X9" i="50"/>
  <c r="X35" i="50"/>
  <c r="X28" i="50"/>
  <c r="X21" i="50"/>
  <c r="X14" i="50"/>
  <c r="X7" i="50"/>
  <c r="AB12" i="51"/>
  <c r="AB8" i="51"/>
  <c r="AB6" i="51"/>
  <c r="X25" i="8"/>
  <c r="X21" i="8"/>
  <c r="AC18" i="9"/>
  <c r="AC6" i="9"/>
  <c r="AC12" i="9" s="1"/>
  <c r="AB17" i="9"/>
  <c r="AF17" i="9" s="1"/>
  <c r="AB15" i="9"/>
  <c r="AB18" i="9" s="1"/>
  <c r="W38" i="50"/>
  <c r="W43" i="50" s="1"/>
  <c r="W35" i="50"/>
  <c r="W28" i="50"/>
  <c r="W21" i="50"/>
  <c r="W14" i="50"/>
  <c r="W7" i="50"/>
  <c r="V38" i="50"/>
  <c r="V43" i="50" s="1"/>
  <c r="V35" i="50"/>
  <c r="V28" i="50"/>
  <c r="V21" i="50"/>
  <c r="V14" i="50"/>
  <c r="V7" i="50"/>
  <c r="AA12" i="51"/>
  <c r="AA8" i="51"/>
  <c r="AA6" i="51"/>
  <c r="W28" i="8"/>
  <c r="W25" i="8"/>
  <c r="W21" i="8"/>
  <c r="AB6" i="9"/>
  <c r="AB12" i="9" s="1"/>
  <c r="W16" i="9"/>
  <c r="AA16" i="9" s="1"/>
  <c r="W17" i="9"/>
  <c r="AA17" i="9" s="1"/>
  <c r="W15" i="9"/>
  <c r="AA15" i="9" s="1"/>
  <c r="Y5" i="51"/>
  <c r="V35" i="8"/>
  <c r="V38" i="8" s="1"/>
  <c r="V26" i="8"/>
  <c r="V28" i="8" s="1"/>
  <c r="V10" i="8"/>
  <c r="V14" i="8" s="1"/>
  <c r="Z23" i="9"/>
  <c r="Z4" i="9"/>
  <c r="Z6" i="9" s="1"/>
  <c r="Z12" i="9" s="1"/>
  <c r="Z11" i="51"/>
  <c r="Z10" i="51"/>
  <c r="Z9" i="51"/>
  <c r="U4" i="51"/>
  <c r="U5" i="51"/>
  <c r="U3" i="51"/>
  <c r="Z5" i="51"/>
  <c r="Z3" i="51"/>
  <c r="AA14" i="9"/>
  <c r="AA11" i="9"/>
  <c r="AA9" i="9"/>
  <c r="AA8" i="9"/>
  <c r="AA5" i="9"/>
  <c r="Z12" i="51"/>
  <c r="Z8" i="51"/>
  <c r="Y12" i="51"/>
  <c r="Y8" i="51"/>
  <c r="Y6" i="51"/>
  <c r="V25" i="8"/>
  <c r="V21" i="8"/>
  <c r="Z18" i="9"/>
  <c r="U27" i="9"/>
  <c r="U8" i="9"/>
  <c r="N23" i="9"/>
  <c r="N17" i="9"/>
  <c r="N18" i="9" s="1"/>
  <c r="N5" i="9"/>
  <c r="N4" i="9"/>
  <c r="M23" i="9"/>
  <c r="M17" i="9"/>
  <c r="M18" i="9" s="1"/>
  <c r="M5" i="9"/>
  <c r="M4" i="9"/>
  <c r="Q5" i="9"/>
  <c r="Q4" i="9"/>
  <c r="L17" i="9"/>
  <c r="L18" i="9" s="1"/>
  <c r="L5" i="9"/>
  <c r="K5" i="9"/>
  <c r="J5" i="9"/>
  <c r="L4" i="9"/>
  <c r="L6" i="9" s="1"/>
  <c r="L12" i="9" s="1"/>
  <c r="K4" i="9"/>
  <c r="J17" i="9"/>
  <c r="J4" i="9"/>
  <c r="I17" i="9"/>
  <c r="I18" i="9" s="1"/>
  <c r="I5" i="9"/>
  <c r="I4" i="9"/>
  <c r="H17" i="9"/>
  <c r="H18" i="9" s="1"/>
  <c r="H5" i="9"/>
  <c r="H4" i="9"/>
  <c r="H6" i="9" s="1"/>
  <c r="H12" i="9" s="1"/>
  <c r="H21" i="9" s="1"/>
  <c r="H24" i="9" s="1"/>
  <c r="H28" i="9" s="1"/>
  <c r="P4" i="9"/>
  <c r="P5" i="9"/>
  <c r="F42" i="50"/>
  <c r="F41" i="50"/>
  <c r="F39" i="50"/>
  <c r="F38" i="50"/>
  <c r="F11" i="51"/>
  <c r="F10" i="51"/>
  <c r="F9" i="51"/>
  <c r="F4" i="51"/>
  <c r="F5" i="51"/>
  <c r="F3" i="51"/>
  <c r="L23" i="9"/>
  <c r="G27" i="9"/>
  <c r="G23" i="9"/>
  <c r="G20" i="9"/>
  <c r="G17" i="9"/>
  <c r="G16" i="9"/>
  <c r="G15" i="9"/>
  <c r="G14" i="9"/>
  <c r="G18" i="9" s="1"/>
  <c r="G11" i="9"/>
  <c r="G10" i="9"/>
  <c r="G9" i="9"/>
  <c r="G8" i="9"/>
  <c r="G5" i="9"/>
  <c r="G4" i="9"/>
  <c r="G6" i="9" s="1"/>
  <c r="G12" i="9" s="1"/>
  <c r="K23" i="9"/>
  <c r="E12" i="51"/>
  <c r="D12" i="51"/>
  <c r="C12" i="51"/>
  <c r="E6" i="51"/>
  <c r="D6" i="51"/>
  <c r="C6" i="51"/>
  <c r="E43" i="50"/>
  <c r="D43" i="50"/>
  <c r="C43" i="50"/>
  <c r="E35" i="50"/>
  <c r="D35" i="50"/>
  <c r="C35" i="50"/>
  <c r="E28" i="50"/>
  <c r="D28" i="50"/>
  <c r="C28" i="50"/>
  <c r="E21" i="50"/>
  <c r="D21" i="50"/>
  <c r="C21" i="50"/>
  <c r="E14" i="50"/>
  <c r="D14" i="50"/>
  <c r="C14" i="50"/>
  <c r="E7" i="50"/>
  <c r="D7" i="50"/>
  <c r="C7" i="50"/>
  <c r="E38" i="8"/>
  <c r="D38" i="8"/>
  <c r="C38" i="8"/>
  <c r="C48" i="8" s="1"/>
  <c r="E28" i="8"/>
  <c r="D28" i="8"/>
  <c r="C28" i="8"/>
  <c r="E21" i="8"/>
  <c r="D21" i="8"/>
  <c r="C21" i="8"/>
  <c r="E14" i="8"/>
  <c r="D14" i="8"/>
  <c r="C14" i="8"/>
  <c r="C18" i="9"/>
  <c r="C6" i="9"/>
  <c r="C12" i="9"/>
  <c r="C21" i="9" s="1"/>
  <c r="C24" i="9" s="1"/>
  <c r="C28" i="9" s="1"/>
  <c r="D18" i="9"/>
  <c r="D6" i="9"/>
  <c r="D12" i="9" s="1"/>
  <c r="D21" i="9" s="1"/>
  <c r="D24" i="9" s="1"/>
  <c r="D28" i="9" s="1"/>
  <c r="E18" i="9"/>
  <c r="E6" i="9"/>
  <c r="E12" i="9"/>
  <c r="E21" i="9"/>
  <c r="E24" i="9" s="1"/>
  <c r="E28" i="9" s="1"/>
  <c r="P34" i="50"/>
  <c r="P32" i="50"/>
  <c r="P31" i="50"/>
  <c r="P27" i="50"/>
  <c r="P25" i="50"/>
  <c r="P20" i="50"/>
  <c r="P18" i="50"/>
  <c r="P13" i="50"/>
  <c r="P11" i="50"/>
  <c r="P6" i="50"/>
  <c r="P4" i="50"/>
  <c r="P7" i="50" s="1"/>
  <c r="P3" i="50"/>
  <c r="B35" i="50"/>
  <c r="B28" i="50"/>
  <c r="B21" i="50"/>
  <c r="B14" i="50"/>
  <c r="B7" i="50"/>
  <c r="H43" i="50"/>
  <c r="I43" i="50"/>
  <c r="I35" i="50"/>
  <c r="H35" i="50"/>
  <c r="G35" i="50"/>
  <c r="I28" i="50"/>
  <c r="H28" i="50"/>
  <c r="G28" i="50"/>
  <c r="I21" i="50"/>
  <c r="H21" i="50"/>
  <c r="G21" i="50"/>
  <c r="I14" i="50"/>
  <c r="H14" i="50"/>
  <c r="G14" i="50"/>
  <c r="I7" i="50"/>
  <c r="H7" i="50"/>
  <c r="G7" i="50"/>
  <c r="L35" i="50"/>
  <c r="K35" i="50"/>
  <c r="J35" i="50"/>
  <c r="L28" i="50"/>
  <c r="K28" i="50"/>
  <c r="J28" i="50"/>
  <c r="L21" i="50"/>
  <c r="K21" i="50"/>
  <c r="J21" i="50"/>
  <c r="L14" i="50"/>
  <c r="K14" i="50"/>
  <c r="J14" i="50"/>
  <c r="L7" i="50"/>
  <c r="K7" i="50"/>
  <c r="J7" i="50"/>
  <c r="J43" i="50"/>
  <c r="G43" i="50"/>
  <c r="B43" i="50"/>
  <c r="K43" i="50"/>
  <c r="L43" i="50"/>
  <c r="N12" i="51"/>
  <c r="M12" i="51"/>
  <c r="L12" i="51"/>
  <c r="K12" i="51"/>
  <c r="J12" i="51"/>
  <c r="I12" i="51"/>
  <c r="H12" i="51"/>
  <c r="G12" i="51"/>
  <c r="F12" i="51"/>
  <c r="B12" i="51"/>
  <c r="N6" i="51"/>
  <c r="M6" i="51"/>
  <c r="L6" i="51"/>
  <c r="K6" i="51"/>
  <c r="J6" i="51"/>
  <c r="I6" i="51"/>
  <c r="H6" i="51"/>
  <c r="G6" i="51"/>
  <c r="F6" i="51"/>
  <c r="B6" i="51"/>
  <c r="M43" i="50"/>
  <c r="M35" i="50"/>
  <c r="F35" i="50"/>
  <c r="M24" i="50"/>
  <c r="F28" i="50"/>
  <c r="M21" i="50"/>
  <c r="F21" i="50"/>
  <c r="F14" i="50"/>
  <c r="M14" i="50"/>
  <c r="M7" i="50"/>
  <c r="F7" i="50"/>
  <c r="N12" i="1"/>
  <c r="M28" i="50"/>
  <c r="H38" i="8"/>
  <c r="G38" i="8"/>
  <c r="F38" i="8"/>
  <c r="M35" i="8"/>
  <c r="M38" i="8" s="1"/>
  <c r="L38" i="8"/>
  <c r="K38" i="8"/>
  <c r="J38" i="8"/>
  <c r="I38" i="8"/>
  <c r="H28" i="8"/>
  <c r="G28" i="8"/>
  <c r="F28" i="8"/>
  <c r="M26" i="8"/>
  <c r="M28" i="8" s="1"/>
  <c r="L28" i="8"/>
  <c r="K28" i="8"/>
  <c r="J28" i="8"/>
  <c r="I28" i="8"/>
  <c r="L21" i="8"/>
  <c r="K21" i="8"/>
  <c r="J21" i="8"/>
  <c r="I21" i="8"/>
  <c r="M17" i="8"/>
  <c r="M21" i="8" s="1"/>
  <c r="H21" i="8"/>
  <c r="G21" i="8"/>
  <c r="F21" i="8"/>
  <c r="M13" i="8"/>
  <c r="M3" i="8"/>
  <c r="L14" i="8"/>
  <c r="K14" i="8"/>
  <c r="J14" i="8"/>
  <c r="I14" i="8"/>
  <c r="H14" i="8"/>
  <c r="G14" i="8"/>
  <c r="F14" i="8"/>
  <c r="F18" i="9"/>
  <c r="F6" i="9"/>
  <c r="F12" i="9" s="1"/>
  <c r="F21" i="9" s="1"/>
  <c r="F24" i="9" s="1"/>
  <c r="F28" i="9" s="1"/>
  <c r="O27" i="9"/>
  <c r="O23" i="9"/>
  <c r="O17" i="9"/>
  <c r="O14" i="9"/>
  <c r="K18" i="9"/>
  <c r="J18" i="9"/>
  <c r="O8" i="9"/>
  <c r="O5" i="9"/>
  <c r="O4" i="9"/>
  <c r="O6" i="9" s="1"/>
  <c r="O12" i="9" s="1"/>
  <c r="M6" i="9"/>
  <c r="M12" i="9" s="1"/>
  <c r="M21" i="9" s="1"/>
  <c r="M24" i="9" s="1"/>
  <c r="M28" i="9" s="1"/>
  <c r="O18" i="9"/>
  <c r="X12" i="51"/>
  <c r="X8" i="51"/>
  <c r="X6" i="51"/>
  <c r="U38" i="8"/>
  <c r="U28" i="8"/>
  <c r="U21" i="8"/>
  <c r="U14" i="8"/>
  <c r="Y18" i="9"/>
  <c r="Y6" i="9"/>
  <c r="Y12" i="9" s="1"/>
  <c r="W4" i="51"/>
  <c r="Z4" i="51"/>
  <c r="Z6" i="51"/>
  <c r="T26" i="8"/>
  <c r="T28" i="8" s="1"/>
  <c r="T17" i="8"/>
  <c r="T21" i="8" s="1"/>
  <c r="X4" i="9"/>
  <c r="X6" i="9" s="1"/>
  <c r="X12" i="9" s="1"/>
  <c r="W12" i="51"/>
  <c r="W8" i="51"/>
  <c r="W6" i="51"/>
  <c r="T38" i="8"/>
  <c r="T14" i="8"/>
  <c r="X18" i="9"/>
  <c r="S26" i="8"/>
  <c r="S28" i="8" s="1"/>
  <c r="S10" i="8"/>
  <c r="W23" i="9"/>
  <c r="S8" i="8"/>
  <c r="W27" i="9"/>
  <c r="AA27" i="9"/>
  <c r="P27" i="9"/>
  <c r="P8" i="9"/>
  <c r="U5" i="9"/>
  <c r="U6" i="9" s="1"/>
  <c r="U34" i="50"/>
  <c r="U32" i="50"/>
  <c r="U31" i="50"/>
  <c r="U13" i="50"/>
  <c r="U11" i="50"/>
  <c r="U6" i="50"/>
  <c r="U4" i="50"/>
  <c r="U3" i="50"/>
  <c r="U20" i="50"/>
  <c r="U25" i="50"/>
  <c r="U27" i="50"/>
  <c r="T24" i="50"/>
  <c r="T10" i="50"/>
  <c r="S24" i="50"/>
  <c r="S10" i="50"/>
  <c r="R24" i="50"/>
  <c r="R10" i="50"/>
  <c r="Q24" i="50"/>
  <c r="U24" i="50" s="1"/>
  <c r="Q10" i="50"/>
  <c r="U10" i="50" s="1"/>
  <c r="O24" i="50"/>
  <c r="O10" i="50"/>
  <c r="N24" i="50"/>
  <c r="N10" i="50"/>
  <c r="P10" i="50"/>
  <c r="P24" i="50"/>
  <c r="P28" i="50" s="1"/>
  <c r="U17" i="9"/>
  <c r="T17" i="9"/>
  <c r="T27" i="9"/>
  <c r="T8" i="9"/>
  <c r="T5" i="9"/>
  <c r="S27" i="9"/>
  <c r="S17" i="9"/>
  <c r="S8" i="9"/>
  <c r="S5" i="9"/>
  <c r="R5" i="9"/>
  <c r="R27" i="9"/>
  <c r="R8" i="9"/>
  <c r="R17" i="9"/>
  <c r="R18" i="9" s="1"/>
  <c r="S3" i="8"/>
  <c r="W20" i="9"/>
  <c r="AA20" i="9"/>
  <c r="W10" i="9"/>
  <c r="AA10" i="9" s="1"/>
  <c r="U4" i="9"/>
  <c r="T4" i="9"/>
  <c r="S4" i="9"/>
  <c r="S6" i="9" s="1"/>
  <c r="S12" i="9" s="1"/>
  <c r="R4" i="9"/>
  <c r="S17" i="8"/>
  <c r="S21" i="8" s="1"/>
  <c r="W4" i="9"/>
  <c r="W6" i="9" s="1"/>
  <c r="AA4" i="9"/>
  <c r="V20" i="9"/>
  <c r="V16" i="9"/>
  <c r="V10" i="9"/>
  <c r="V9" i="9"/>
  <c r="U23" i="9"/>
  <c r="U14" i="9"/>
  <c r="T23" i="9"/>
  <c r="T15" i="9"/>
  <c r="V15" i="9"/>
  <c r="T14" i="9"/>
  <c r="S14" i="9"/>
  <c r="S23" i="9"/>
  <c r="R23" i="9"/>
  <c r="R11" i="9"/>
  <c r="V11" i="9"/>
  <c r="P17" i="9"/>
  <c r="P18" i="9" s="1"/>
  <c r="P23" i="9"/>
  <c r="V8" i="51"/>
  <c r="V12" i="51"/>
  <c r="V6" i="51"/>
  <c r="V12" i="1"/>
  <c r="S38" i="8"/>
  <c r="Q18" i="50"/>
  <c r="U18" i="50"/>
  <c r="Q17" i="50"/>
  <c r="U17" i="50" s="1"/>
  <c r="U12" i="51"/>
  <c r="U8" i="51"/>
  <c r="U6" i="51"/>
  <c r="T12" i="51"/>
  <c r="T8" i="51"/>
  <c r="T6" i="51"/>
  <c r="U43" i="50"/>
  <c r="T43" i="50"/>
  <c r="T35" i="50"/>
  <c r="T28" i="50"/>
  <c r="T21" i="50"/>
  <c r="T14" i="50"/>
  <c r="T7" i="50"/>
  <c r="U12" i="1"/>
  <c r="R38" i="8"/>
  <c r="R28" i="8"/>
  <c r="R21" i="8"/>
  <c r="R14" i="8"/>
  <c r="R23" i="8" s="1"/>
  <c r="S8" i="51"/>
  <c r="S12" i="51"/>
  <c r="S6" i="51"/>
  <c r="S43" i="50"/>
  <c r="S35" i="50"/>
  <c r="S28" i="50"/>
  <c r="S21" i="50"/>
  <c r="S14" i="50"/>
  <c r="S7" i="50"/>
  <c r="Q38" i="8"/>
  <c r="Q28" i="8"/>
  <c r="Q21" i="8"/>
  <c r="Q14" i="8"/>
  <c r="O35" i="8"/>
  <c r="O38" i="8" s="1"/>
  <c r="O48" i="8" s="1"/>
  <c r="P35" i="8"/>
  <c r="P38" i="8" s="1"/>
  <c r="P48" i="8" s="1"/>
  <c r="P50" i="8" s="1"/>
  <c r="N35" i="8"/>
  <c r="N38" i="8" s="1"/>
  <c r="N48" i="8" s="1"/>
  <c r="R12" i="51"/>
  <c r="R6" i="51"/>
  <c r="R43" i="50"/>
  <c r="R35" i="50"/>
  <c r="R28" i="50"/>
  <c r="R21" i="50"/>
  <c r="R14" i="50"/>
  <c r="R7" i="50"/>
  <c r="R12" i="1"/>
  <c r="P28" i="8"/>
  <c r="P21" i="8"/>
  <c r="P14" i="8"/>
  <c r="Q12" i="51"/>
  <c r="Q6" i="51"/>
  <c r="Q43" i="50"/>
  <c r="Q35" i="50"/>
  <c r="Q14" i="50"/>
  <c r="Q7" i="50"/>
  <c r="Q12" i="1"/>
  <c r="O28" i="8"/>
  <c r="O21" i="8"/>
  <c r="O14" i="8"/>
  <c r="O17" i="50"/>
  <c r="P17" i="50" s="1"/>
  <c r="O21" i="50"/>
  <c r="N21" i="50"/>
  <c r="P12" i="51"/>
  <c r="O12" i="51"/>
  <c r="P6" i="51"/>
  <c r="O6" i="51"/>
  <c r="P43" i="50"/>
  <c r="O43" i="50"/>
  <c r="N43" i="50"/>
  <c r="P12" i="1"/>
  <c r="O7" i="50"/>
  <c r="N7" i="50"/>
  <c r="P15" i="1"/>
  <c r="P14" i="1"/>
  <c r="P13" i="1"/>
  <c r="P7" i="1"/>
  <c r="O28" i="50"/>
  <c r="N28" i="50"/>
  <c r="O14" i="50"/>
  <c r="N14" i="50"/>
  <c r="O35" i="50"/>
  <c r="N35" i="50"/>
  <c r="O12" i="1"/>
  <c r="Q18" i="9"/>
  <c r="N28" i="8"/>
  <c r="N21" i="8"/>
  <c r="N14" i="8"/>
  <c r="Q6" i="9"/>
  <c r="Q12" i="9"/>
  <c r="T6" i="9"/>
  <c r="T12" i="9" s="1"/>
  <c r="C23" i="8" l="1"/>
  <c r="X23" i="8"/>
  <c r="U23" i="8"/>
  <c r="G48" i="8"/>
  <c r="G50" i="8" s="1"/>
  <c r="H48" i="8"/>
  <c r="H50" i="8" s="1"/>
  <c r="N23" i="8"/>
  <c r="H23" i="8"/>
  <c r="K23" i="8"/>
  <c r="I48" i="8"/>
  <c r="I50" i="8" s="1"/>
  <c r="S48" i="8"/>
  <c r="L23" i="8"/>
  <c r="W38" i="8"/>
  <c r="W48" i="8" s="1"/>
  <c r="W50" i="8" s="1"/>
  <c r="Y46" i="8"/>
  <c r="O23" i="8"/>
  <c r="O50" i="8"/>
  <c r="U48" i="8"/>
  <c r="U50" i="8" s="1"/>
  <c r="M14" i="8"/>
  <c r="M23" i="8" s="1"/>
  <c r="C50" i="8"/>
  <c r="Z48" i="8"/>
  <c r="Z50" i="8" s="1"/>
  <c r="L21" i="9"/>
  <c r="L24" i="9" s="1"/>
  <c r="L28" i="9" s="1"/>
  <c r="AC21" i="9"/>
  <c r="AC24" i="9" s="1"/>
  <c r="AC28" i="9" s="1"/>
  <c r="AB3" i="52" s="1"/>
  <c r="AB16" i="52" s="1"/>
  <c r="AB18" i="52" s="1"/>
  <c r="O21" i="9"/>
  <c r="O24" i="9" s="1"/>
  <c r="O28" i="9" s="1"/>
  <c r="O30" i="9" s="1"/>
  <c r="AA6" i="9"/>
  <c r="AA12" i="9" s="1"/>
  <c r="AA21" i="9" s="1"/>
  <c r="W12" i="9"/>
  <c r="W21" i="9" s="1"/>
  <c r="W24" i="9" s="1"/>
  <c r="W28" i="9" s="1"/>
  <c r="V8" i="9"/>
  <c r="AF6" i="9"/>
  <c r="Q21" i="9"/>
  <c r="Q24" i="9" s="1"/>
  <c r="Q28" i="9" s="1"/>
  <c r="V27" i="9"/>
  <c r="U12" i="9"/>
  <c r="V23" i="9"/>
  <c r="X21" i="9"/>
  <c r="X24" i="9" s="1"/>
  <c r="X28" i="9" s="1"/>
  <c r="W3" i="52" s="1"/>
  <c r="W16" i="52" s="1"/>
  <c r="W18" i="52" s="1"/>
  <c r="AC30" i="9"/>
  <c r="V4" i="9"/>
  <c r="V5" i="9"/>
  <c r="AF15" i="9"/>
  <c r="V14" i="9"/>
  <c r="V18" i="9" s="1"/>
  <c r="N6" i="9"/>
  <c r="N12" i="9" s="1"/>
  <c r="N21" i="9" s="1"/>
  <c r="N24" i="9" s="1"/>
  <c r="N28" i="9" s="1"/>
  <c r="M3" i="52" s="1"/>
  <c r="M16" i="52" s="1"/>
  <c r="M18" i="52" s="1"/>
  <c r="S18" i="9"/>
  <c r="S21" i="9" s="1"/>
  <c r="S24" i="9" s="1"/>
  <c r="S28" i="9" s="1"/>
  <c r="J6" i="9"/>
  <c r="J12" i="9" s="1"/>
  <c r="J21" i="9" s="1"/>
  <c r="J24" i="9" s="1"/>
  <c r="J28" i="9" s="1"/>
  <c r="I3" i="52" s="1"/>
  <c r="I16" i="52" s="1"/>
  <c r="I18" i="52" s="1"/>
  <c r="P6" i="9"/>
  <c r="P12" i="9" s="1"/>
  <c r="P21" i="9" s="1"/>
  <c r="P24" i="9" s="1"/>
  <c r="P28" i="9" s="1"/>
  <c r="O3" i="52" s="1"/>
  <c r="O16" i="52" s="1"/>
  <c r="O18" i="52" s="1"/>
  <c r="Z21" i="9"/>
  <c r="Z24" i="9" s="1"/>
  <c r="Z28" i="9" s="1"/>
  <c r="Y3" i="52" s="1"/>
  <c r="Y16" i="52" s="1"/>
  <c r="Y18" i="52" s="1"/>
  <c r="AA18" i="9"/>
  <c r="G21" i="9"/>
  <c r="G24" i="9" s="1"/>
  <c r="G28" i="9" s="1"/>
  <c r="K6" i="9"/>
  <c r="K12" i="9" s="1"/>
  <c r="K21" i="9" s="1"/>
  <c r="K24" i="9" s="1"/>
  <c r="K28" i="9" s="1"/>
  <c r="K30" i="9" s="1"/>
  <c r="AB21" i="9"/>
  <c r="AB24" i="9" s="1"/>
  <c r="AB28" i="9" s="1"/>
  <c r="AA3" i="52" s="1"/>
  <c r="AA16" i="52" s="1"/>
  <c r="AA18" i="52" s="1"/>
  <c r="T18" i="9"/>
  <c r="Y21" i="9"/>
  <c r="Y24" i="9" s="1"/>
  <c r="Y28" i="9" s="1"/>
  <c r="Y30" i="9" s="1"/>
  <c r="I6" i="9"/>
  <c r="I12" i="9" s="1"/>
  <c r="I21" i="9" s="1"/>
  <c r="I24" i="9" s="1"/>
  <c r="I28" i="9" s="1"/>
  <c r="H3" i="52" s="1"/>
  <c r="H16" i="52" s="1"/>
  <c r="H18" i="52" s="1"/>
  <c r="AA23" i="9"/>
  <c r="G3" i="52"/>
  <c r="G16" i="52" s="1"/>
  <c r="G18" i="52" s="1"/>
  <c r="H30" i="9"/>
  <c r="X3" i="52"/>
  <c r="X16" i="52" s="1"/>
  <c r="X18" i="52" s="1"/>
  <c r="N3" i="52"/>
  <c r="N16" i="52" s="1"/>
  <c r="N18" i="52" s="1"/>
  <c r="L3" i="52"/>
  <c r="L16" i="52" s="1"/>
  <c r="L18" i="52" s="1"/>
  <c r="M30" i="9"/>
  <c r="E3" i="52"/>
  <c r="E16" i="52" s="1"/>
  <c r="E18" i="52" s="1"/>
  <c r="F30" i="9"/>
  <c r="AE28" i="9"/>
  <c r="P3" i="52"/>
  <c r="P16" i="52" s="1"/>
  <c r="P18" i="52" s="1"/>
  <c r="Q30" i="9"/>
  <c r="T21" i="9"/>
  <c r="T24" i="9" s="1"/>
  <c r="T28" i="9" s="1"/>
  <c r="X30" i="9"/>
  <c r="D3" i="52"/>
  <c r="D16" i="52" s="1"/>
  <c r="D18" i="52" s="1"/>
  <c r="E30" i="9"/>
  <c r="K3" i="52"/>
  <c r="K16" i="52" s="1"/>
  <c r="K18" i="52" s="1"/>
  <c r="L30" i="9"/>
  <c r="C3" i="52"/>
  <c r="C16" i="52" s="1"/>
  <c r="C18" i="52" s="1"/>
  <c r="D30" i="9"/>
  <c r="F3" i="52"/>
  <c r="F16" i="52" s="1"/>
  <c r="F18" i="52" s="1"/>
  <c r="G30" i="9"/>
  <c r="B3" i="52"/>
  <c r="B16" i="52" s="1"/>
  <c r="B18" i="52" s="1"/>
  <c r="C30" i="9"/>
  <c r="U18" i="9"/>
  <c r="AD12" i="9"/>
  <c r="AD21" i="9" s="1"/>
  <c r="V17" i="9"/>
  <c r="R6" i="9"/>
  <c r="R12" i="9" s="1"/>
  <c r="R21" i="9" s="1"/>
  <c r="R24" i="9" s="1"/>
  <c r="R28" i="9" s="1"/>
  <c r="W18" i="9"/>
  <c r="F35" i="7"/>
  <c r="AA21" i="7"/>
  <c r="AA24" i="7" s="1"/>
  <c r="W36" i="7"/>
  <c r="C19" i="7"/>
  <c r="F17" i="7"/>
  <c r="I51" i="7"/>
  <c r="I54" i="7" s="1"/>
  <c r="X51" i="7"/>
  <c r="X54" i="7" s="1"/>
  <c r="F16" i="7"/>
  <c r="F18" i="7"/>
  <c r="V21" i="7"/>
  <c r="V24" i="7" s="1"/>
  <c r="E19" i="7"/>
  <c r="E24" i="7" s="1"/>
  <c r="E51" i="7" s="1"/>
  <c r="AB21" i="7"/>
  <c r="AB24" i="7" s="1"/>
  <c r="U7" i="50"/>
  <c r="AA14" i="50"/>
  <c r="U35" i="50"/>
  <c r="AA7" i="50"/>
  <c r="F43" i="50"/>
  <c r="U21" i="50"/>
  <c r="P14" i="50"/>
  <c r="P21" i="50"/>
  <c r="U28" i="50"/>
  <c r="P35" i="50"/>
  <c r="J51" i="7"/>
  <c r="J54" i="7" s="1"/>
  <c r="U51" i="7"/>
  <c r="U54" i="7" s="1"/>
  <c r="P51" i="7"/>
  <c r="P54" i="7" s="1"/>
  <c r="B51" i="7"/>
  <c r="B54" i="7" s="1"/>
  <c r="C53" i="7" s="1"/>
  <c r="AA28" i="50"/>
  <c r="U14" i="50"/>
  <c r="Q21" i="50"/>
  <c r="Q28" i="50"/>
  <c r="G51" i="7"/>
  <c r="G54" i="7" s="1"/>
  <c r="Z49" i="7"/>
  <c r="K51" i="7"/>
  <c r="K54" i="7" s="1"/>
  <c r="H51" i="7"/>
  <c r="H54" i="7" s="1"/>
  <c r="N51" i="7"/>
  <c r="N54" i="7" s="1"/>
  <c r="T51" i="7"/>
  <c r="T54" i="7" s="1"/>
  <c r="AD51" i="7"/>
  <c r="Y51" i="7"/>
  <c r="Y54" i="7" s="1"/>
  <c r="AB30" i="7"/>
  <c r="AC30" i="7" s="1"/>
  <c r="L51" i="7"/>
  <c r="L54" i="7" s="1"/>
  <c r="F36" i="7"/>
  <c r="F49" i="7"/>
  <c r="M51" i="7"/>
  <c r="M54" i="7" s="1"/>
  <c r="Z36" i="7"/>
  <c r="AA36" i="7"/>
  <c r="AA51" i="7" s="1"/>
  <c r="AA54" i="7" s="1"/>
  <c r="AB53" i="7" s="1"/>
  <c r="AB29" i="7"/>
  <c r="S51" i="7"/>
  <c r="S54" i="7" s="1"/>
  <c r="Z21" i="7"/>
  <c r="Z24" i="7" s="1"/>
  <c r="R51" i="7"/>
  <c r="R54" i="7" s="1"/>
  <c r="V36" i="7"/>
  <c r="D19" i="7"/>
  <c r="D24" i="7" s="1"/>
  <c r="D51" i="7" s="1"/>
  <c r="O51" i="7"/>
  <c r="O54" i="7" s="1"/>
  <c r="W21" i="7"/>
  <c r="W24" i="7" s="1"/>
  <c r="W51" i="7" s="1"/>
  <c r="C24" i="7"/>
  <c r="C51" i="7" s="1"/>
  <c r="AE51" i="7"/>
  <c r="V23" i="8"/>
  <c r="D48" i="8"/>
  <c r="D50" i="8" s="1"/>
  <c r="X50" i="8"/>
  <c r="J23" i="8"/>
  <c r="Y38" i="8"/>
  <c r="D23" i="8"/>
  <c r="N50" i="8"/>
  <c r="T48" i="8"/>
  <c r="T50" i="8" s="1"/>
  <c r="S14" i="8"/>
  <c r="S23" i="8" s="1"/>
  <c r="Y14" i="8"/>
  <c r="Y23" i="8" s="1"/>
  <c r="S50" i="8"/>
  <c r="M48" i="8"/>
  <c r="M50" i="8" s="1"/>
  <c r="T23" i="8"/>
  <c r="W23" i="8"/>
  <c r="P23" i="8"/>
  <c r="I23" i="8"/>
  <c r="E23" i="8"/>
  <c r="Q23" i="8"/>
  <c r="F23" i="8"/>
  <c r="G23" i="8"/>
  <c r="Q48" i="8"/>
  <c r="Q50" i="8" s="1"/>
  <c r="R48" i="8"/>
  <c r="R50" i="8" s="1"/>
  <c r="J48" i="8"/>
  <c r="J50" i="8" s="1"/>
  <c r="K48" i="8"/>
  <c r="K50" i="8" s="1"/>
  <c r="L48" i="8"/>
  <c r="L50" i="8" s="1"/>
  <c r="E48" i="8"/>
  <c r="E50" i="8" s="1"/>
  <c r="F48" i="8"/>
  <c r="F50" i="8" s="1"/>
  <c r="Z23" i="8"/>
  <c r="V48" i="8"/>
  <c r="V50" i="8" s="1"/>
  <c r="Y48" i="8" l="1"/>
  <c r="Y50" i="8" s="1"/>
  <c r="N30" i="9"/>
  <c r="U21" i="9"/>
  <c r="U24" i="9" s="1"/>
  <c r="U28" i="9" s="1"/>
  <c r="J3" i="52"/>
  <c r="J16" i="52" s="1"/>
  <c r="J18" i="52" s="1"/>
  <c r="R3" i="52"/>
  <c r="R16" i="52" s="1"/>
  <c r="R18" i="52" s="1"/>
  <c r="S30" i="9"/>
  <c r="P30" i="9"/>
  <c r="I30" i="9"/>
  <c r="J30" i="9"/>
  <c r="AA24" i="9"/>
  <c r="AA28" i="9" s="1"/>
  <c r="AF12" i="9"/>
  <c r="Z30" i="9"/>
  <c r="V6" i="9"/>
  <c r="V12" i="9" s="1"/>
  <c r="V21" i="9" s="1"/>
  <c r="V24" i="9" s="1"/>
  <c r="V28" i="9" s="1"/>
  <c r="AB30" i="9"/>
  <c r="AD3" i="52"/>
  <c r="AD16" i="52" s="1"/>
  <c r="AD18" i="52" s="1"/>
  <c r="AE30" i="9"/>
  <c r="V3" i="52"/>
  <c r="V16" i="52" s="1"/>
  <c r="V18" i="52" s="1"/>
  <c r="W30" i="9"/>
  <c r="T3" i="52"/>
  <c r="T16" i="52" s="1"/>
  <c r="T18" i="52" s="1"/>
  <c r="U30" i="9"/>
  <c r="Q3" i="52"/>
  <c r="Q16" i="52" s="1"/>
  <c r="Q18" i="52" s="1"/>
  <c r="R30" i="9"/>
  <c r="S3" i="52"/>
  <c r="S16" i="52" s="1"/>
  <c r="S18" i="52" s="1"/>
  <c r="T30" i="9"/>
  <c r="AF21" i="9"/>
  <c r="AD24" i="9"/>
  <c r="V51" i="7"/>
  <c r="V54" i="7" s="1"/>
  <c r="W53" i="7" s="1"/>
  <c r="W54" i="7" s="1"/>
  <c r="AB36" i="7"/>
  <c r="AB51" i="7" s="1"/>
  <c r="AB54" i="7" s="1"/>
  <c r="AC53" i="7" s="1"/>
  <c r="AC29" i="7"/>
  <c r="C54" i="7"/>
  <c r="D53" i="7" s="1"/>
  <c r="D54" i="7" s="1"/>
  <c r="E53" i="7" s="1"/>
  <c r="E54" i="7" s="1"/>
  <c r="F19" i="7"/>
  <c r="F24" i="7" s="1"/>
  <c r="F51" i="7" s="1"/>
  <c r="F54" i="7" s="1"/>
  <c r="AC36" i="7"/>
  <c r="AC51" i="7" s="1"/>
  <c r="Z51" i="7"/>
  <c r="Z54" i="7" s="1"/>
  <c r="V30" i="9" l="1"/>
  <c r="U3" i="52"/>
  <c r="U16" i="52" s="1"/>
  <c r="U18" i="52" s="1"/>
  <c r="Z3" i="52"/>
  <c r="Z16" i="52" s="1"/>
  <c r="Z18" i="52" s="1"/>
  <c r="AA30" i="9"/>
  <c r="AD28" i="9"/>
  <c r="AF24" i="9"/>
  <c r="AE53" i="7"/>
  <c r="AE54" i="7" s="1"/>
  <c r="AC54" i="7"/>
  <c r="AD53" i="7" s="1"/>
  <c r="AD54" i="7" s="1"/>
  <c r="AJ21" i="7"/>
  <c r="AJ24" i="7" s="1"/>
  <c r="AJ51" i="7" s="1"/>
  <c r="AI21" i="7"/>
  <c r="AI24" i="7" s="1"/>
  <c r="AC3" i="52" l="1"/>
  <c r="AC16" i="52" s="1"/>
  <c r="AC18" i="52" s="1"/>
  <c r="AD30" i="9"/>
  <c r="AF28" i="9"/>
  <c r="AJ53" i="7"/>
  <c r="AF53" i="7"/>
  <c r="AF54" i="7" s="1"/>
  <c r="AG53" i="7" s="1"/>
  <c r="AG54" i="7" s="1"/>
  <c r="AH53" i="7" s="1"/>
  <c r="AH54" i="7" s="1"/>
  <c r="AI53" i="7" s="1"/>
  <c r="AJ54" i="7"/>
  <c r="AK53" i="7" s="1"/>
  <c r="AK54" i="7" s="1"/>
  <c r="AL53" i="7" s="1"/>
  <c r="AL54" i="7" s="1"/>
  <c r="AM54" i="7" s="1"/>
  <c r="AI51" i="7"/>
  <c r="AI54" i="7" s="1"/>
  <c r="AF30" i="9" l="1"/>
  <c r="AE3" i="52"/>
  <c r="AE16" i="52" s="1"/>
  <c r="AE18" i="52" s="1"/>
  <c r="AS21" i="7"/>
  <c r="AS24" i="7" l="1"/>
  <c r="AS51" i="7" s="1"/>
  <c r="AS54" i="7" s="1"/>
</calcChain>
</file>

<file path=xl/sharedStrings.xml><?xml version="1.0" encoding="utf-8"?>
<sst xmlns="http://schemas.openxmlformats.org/spreadsheetml/2006/main" count="602" uniqueCount="218">
  <si>
    <t>Q1 2016</t>
  </si>
  <si>
    <t>Q2 2016</t>
  </si>
  <si>
    <t>Q3 2016</t>
  </si>
  <si>
    <t>Q4 2016</t>
  </si>
  <si>
    <t>FY 2016</t>
  </si>
  <si>
    <t>Q1 2017*</t>
  </si>
  <si>
    <t>Q2 2017*</t>
  </si>
  <si>
    <t>Q3 2017*</t>
  </si>
  <si>
    <t>Q4 2017*</t>
  </si>
  <si>
    <t>FY 2017*</t>
  </si>
  <si>
    <t>Q1 2018*</t>
  </si>
  <si>
    <t>Q2 2018*</t>
  </si>
  <si>
    <t>Q3 2018*</t>
  </si>
  <si>
    <t>Q4 2018*</t>
  </si>
  <si>
    <t>FY 2018*</t>
  </si>
  <si>
    <t>Q1 2019*</t>
  </si>
  <si>
    <t>Q2 2019*</t>
  </si>
  <si>
    <t>Q3 2019*</t>
  </si>
  <si>
    <t>Q4 2019*</t>
  </si>
  <si>
    <t>FY 2019*</t>
  </si>
  <si>
    <t>Q1 2020</t>
  </si>
  <si>
    <t>Q2 2020</t>
  </si>
  <si>
    <t>Q3 2020</t>
  </si>
  <si>
    <t>Q4 2020</t>
  </si>
  <si>
    <t>FY 2020</t>
  </si>
  <si>
    <t>Q1 2021</t>
  </si>
  <si>
    <t>Q2 2021</t>
  </si>
  <si>
    <t>Q3 2021</t>
  </si>
  <si>
    <t>Q4 2021</t>
  </si>
  <si>
    <t>FY 2021</t>
  </si>
  <si>
    <t>Q1 2022</t>
  </si>
  <si>
    <t>Q2 2022</t>
  </si>
  <si>
    <t>Q3 2022</t>
  </si>
  <si>
    <t>Q4 2022</t>
  </si>
  <si>
    <t>FY 2022</t>
  </si>
  <si>
    <t>CONTINUING OPERATIONS</t>
  </si>
  <si>
    <t>Operating revenue</t>
  </si>
  <si>
    <t>Operating expenses</t>
  </si>
  <si>
    <t>Operating profit /(loss) before depreciation/amortisation</t>
  </si>
  <si>
    <t xml:space="preserve"> </t>
  </si>
  <si>
    <t>Depreciation</t>
  </si>
  <si>
    <t>Amortisation</t>
  </si>
  <si>
    <t>Impairment vessels and other assets</t>
  </si>
  <si>
    <t>Gain/(loss) sale of assets</t>
  </si>
  <si>
    <t>Operating profit/(loss)</t>
  </si>
  <si>
    <t xml:space="preserve">Interest income </t>
  </si>
  <si>
    <t>Interest expense</t>
  </si>
  <si>
    <t>Gain/(loss) on financial instruments</t>
  </si>
  <si>
    <t>Other financial items</t>
  </si>
  <si>
    <t>Net financial income/(expense)</t>
  </si>
  <si>
    <t>Share of profit/(loss) from equity-accounted investees</t>
  </si>
  <si>
    <t>Profit/(loss) before tax</t>
  </si>
  <si>
    <t>Income tax expense</t>
  </si>
  <si>
    <t>Profit/(loss) from continuing operations</t>
  </si>
  <si>
    <t>DISCONTINUED OPERATION</t>
  </si>
  <si>
    <t>Profit/(loss) from discontinued operation</t>
  </si>
  <si>
    <t xml:space="preserve">Net profit/(loss) for the period </t>
  </si>
  <si>
    <t>Attributable to shareholders of the parent</t>
  </si>
  <si>
    <t>Attributable to non-controlling interests</t>
  </si>
  <si>
    <t>EARNINGS PER SHARE</t>
  </si>
  <si>
    <t>Basic earnings/(loss) per share (USD) net</t>
  </si>
  <si>
    <t>Diluted earnings/(loss) per share (USD) net</t>
  </si>
  <si>
    <t>*The comparative information has been restated due to a discontinued operation</t>
  </si>
  <si>
    <t>Net profit/(loss) for the period</t>
  </si>
  <si>
    <t>Currency translation differences</t>
  </si>
  <si>
    <t>Equity-accounted investees - share of OCI</t>
  </si>
  <si>
    <t>Net profit/(loss) on cash flow hedges</t>
  </si>
  <si>
    <t>Net items to be reclassified to profit or loss:</t>
  </si>
  <si>
    <t>Remeasurement of defined benefit liability (asset)</t>
  </si>
  <si>
    <t>Net items not to be reclassified to profit or loss:</t>
  </si>
  <si>
    <t>Other comprehensive income, net of tax</t>
  </si>
  <si>
    <t xml:space="preserve">Total comprehensive income </t>
  </si>
  <si>
    <t>ASSETS</t>
  </si>
  <si>
    <t xml:space="preserve">Vessels </t>
  </si>
  <si>
    <t>Other property, plant &amp; equipment</t>
  </si>
  <si>
    <t>Right-of-use assets</t>
  </si>
  <si>
    <t>E&amp;P tangible assets</t>
  </si>
  <si>
    <t>Intangible assets and goodwill</t>
  </si>
  <si>
    <t>Equity-accounted investees</t>
  </si>
  <si>
    <t>Finance lease receivables</t>
  </si>
  <si>
    <t>Deferred tax assets</t>
  </si>
  <si>
    <t>Pension assets</t>
  </si>
  <si>
    <t>Derivatives</t>
  </si>
  <si>
    <t>Other non-current assets</t>
  </si>
  <si>
    <t xml:space="preserve">Total non-current assets </t>
  </si>
  <si>
    <t>Inventories</t>
  </si>
  <si>
    <t>Trade receivables and other current assets</t>
  </si>
  <si>
    <t>Cash and cash equivalents</t>
  </si>
  <si>
    <t>Assets held for sale</t>
  </si>
  <si>
    <t>Total current assets</t>
  </si>
  <si>
    <t>TOTAL ASSETS</t>
  </si>
  <si>
    <t>EQUITY AND LIABILITIES</t>
  </si>
  <si>
    <t>Shareholders' equity</t>
  </si>
  <si>
    <t>Non-controlling interests</t>
  </si>
  <si>
    <t>Total equity</t>
  </si>
  <si>
    <t>Interest-bearing long-term debt</t>
  </si>
  <si>
    <t>Finance liability related to Barossa lease</t>
  </si>
  <si>
    <t>Pension obligations</t>
  </si>
  <si>
    <t>Asset retirement obligations</t>
  </si>
  <si>
    <t>Other long-term liabilities</t>
  </si>
  <si>
    <t>Long-term lease liabilities</t>
  </si>
  <si>
    <t>Total non-current liabilities</t>
  </si>
  <si>
    <t>Trade and other payables</t>
  </si>
  <si>
    <t>Interest-bearing short-term debt</t>
  </si>
  <si>
    <t>Short-term lease liabilities</t>
  </si>
  <si>
    <t>Income tax liabilities</t>
  </si>
  <si>
    <t>Liabilities held for sale</t>
  </si>
  <si>
    <t>Total current liabilities</t>
  </si>
  <si>
    <t>Total liabilities</t>
  </si>
  <si>
    <t>TOTAL EQUITY AND LIABILITIES</t>
  </si>
  <si>
    <t>Q1 2017</t>
  </si>
  <si>
    <t>Q2 2017</t>
  </si>
  <si>
    <t>Q3 2017</t>
  </si>
  <si>
    <t>Q4 2017</t>
  </si>
  <si>
    <t>FY 2017</t>
  </si>
  <si>
    <t>Q1 2018</t>
  </si>
  <si>
    <t>Q2 2018</t>
  </si>
  <si>
    <t>Q3 2018</t>
  </si>
  <si>
    <t>Q4 2018</t>
  </si>
  <si>
    <t>FY 2018</t>
  </si>
  <si>
    <t>Q1 2019</t>
  </si>
  <si>
    <t>Q2 2019</t>
  </si>
  <si>
    <t>Q3 2019</t>
  </si>
  <si>
    <t>Q4 2019</t>
  </si>
  <si>
    <t>FY 2019</t>
  </si>
  <si>
    <t>Profit/(loss) before taxes</t>
  </si>
  <si>
    <t>Adjustments for:</t>
  </si>
  <si>
    <t>Depreciation and amortisation</t>
  </si>
  <si>
    <t xml:space="preserve">Impairment </t>
  </si>
  <si>
    <t>Change in fair value of derivatives</t>
  </si>
  <si>
    <t>Unrealised currency exchange loss/(gain)</t>
  </si>
  <si>
    <t>Add back of net interest expense</t>
  </si>
  <si>
    <t>Changes in ARO through income statement</t>
  </si>
  <si>
    <t>Share of loss/(profit) from equity-accounted investees</t>
  </si>
  <si>
    <t>Loss/ (gain) on disposal of property, plant &amp; equipment</t>
  </si>
  <si>
    <t>Share-based payment expense</t>
  </si>
  <si>
    <t>Changes in:</t>
  </si>
  <si>
    <t>Instalment on financial lease</t>
  </si>
  <si>
    <t>Trade and other receivables</t>
  </si>
  <si>
    <t xml:space="preserve">Trade and other payables </t>
  </si>
  <si>
    <t>Other balance sheet items and items related to operating activities</t>
  </si>
  <si>
    <t>Deferred revenues</t>
  </si>
  <si>
    <t>Cash generated from operating activities</t>
  </si>
  <si>
    <t>Taxes paid</t>
  </si>
  <si>
    <t>Net effect from discontinued operation</t>
  </si>
  <si>
    <t>Net cash flow from operating activities</t>
  </si>
  <si>
    <t>Interest received</t>
  </si>
  <si>
    <t>Dividends received</t>
  </si>
  <si>
    <t>Proceeds from disposal of property, plant &amp; equipment</t>
  </si>
  <si>
    <t>Proceeds from sale of investments</t>
  </si>
  <si>
    <t>Effect of cashflows from loss of control</t>
  </si>
  <si>
    <t>Investment in associated companies</t>
  </si>
  <si>
    <t>Discontinued operation, net of cash disposed off</t>
  </si>
  <si>
    <t>Acquisition of subsidiary, net of cash acquired</t>
  </si>
  <si>
    <t>Acquisition of other investments</t>
  </si>
  <si>
    <t>Investment in property, plant &amp; equipment and intangible assets</t>
  </si>
  <si>
    <t>Net cash flow from investing activities</t>
  </si>
  <si>
    <t>Proceeds from loans and borrowings</t>
  </si>
  <si>
    <t>Paid dividend and redemption</t>
  </si>
  <si>
    <t>Interest paid</t>
  </si>
  <si>
    <t>Transaction costs relating to share issue</t>
  </si>
  <si>
    <t>Repayment of loans and borrowings</t>
  </si>
  <si>
    <t>Payment of lease liabilities</t>
  </si>
  <si>
    <t>Dividends paid</t>
  </si>
  <si>
    <t>Net cash flow from financing activities</t>
  </si>
  <si>
    <t>Net change in cash and cash equivalents</t>
  </si>
  <si>
    <t>Cash and cash equivalents at beginning of period</t>
  </si>
  <si>
    <t>Cash and cash equivalents at end of period</t>
  </si>
  <si>
    <t>EBITDA-margin</t>
  </si>
  <si>
    <t>Equity ratio</t>
  </si>
  <si>
    <t>Return on equity</t>
  </si>
  <si>
    <t>Return on capital employed</t>
  </si>
  <si>
    <t>Net interest-bearing debt (USD million)</t>
  </si>
  <si>
    <t>Cash flow per share (USD)</t>
  </si>
  <si>
    <t>EPS - basic (USD)</t>
  </si>
  <si>
    <t>EPS - diluted (USD)</t>
  </si>
  <si>
    <t>Outstanding shares - end of period (million)</t>
  </si>
  <si>
    <t>Share price (NOK)</t>
  </si>
  <si>
    <t>Market cap (NOKm)</t>
  </si>
  <si>
    <t>Market cap (USDm)</t>
  </si>
  <si>
    <t>Americas</t>
  </si>
  <si>
    <t>Europe/Africa</t>
  </si>
  <si>
    <t>Asia and the Pacific</t>
  </si>
  <si>
    <t xml:space="preserve">Total revenue </t>
  </si>
  <si>
    <t>Total non-current assets*</t>
  </si>
  <si>
    <t>* Excluding deferred tax assets, pension assets, finance lease receivables, derivatives, equity accounted investments and other non-current assets</t>
  </si>
  <si>
    <t>FPSO</t>
  </si>
  <si>
    <t>E&amp;P</t>
  </si>
  <si>
    <t>Floating wind</t>
  </si>
  <si>
    <t>Eliminations</t>
  </si>
  <si>
    <t>Revenues</t>
  </si>
  <si>
    <t>EBITDA</t>
  </si>
  <si>
    <t>Depreciation, amortisation, impairment and gain sale of assets</t>
  </si>
  <si>
    <t>EBIT</t>
  </si>
  <si>
    <t>CAPEX</t>
  </si>
  <si>
    <t>Assets not allocated to segments</t>
  </si>
  <si>
    <t>Total non-current assets</t>
  </si>
  <si>
    <t>Repurchase of convertible notes</t>
  </si>
  <si>
    <t>Q1 2023</t>
  </si>
  <si>
    <t>Q2 2023</t>
  </si>
  <si>
    <t>Q3 2023</t>
  </si>
  <si>
    <t>Q4 2023</t>
  </si>
  <si>
    <t>FY 2023</t>
  </si>
  <si>
    <t>FY2023</t>
  </si>
  <si>
    <t>Proceeds from share issue in Subsidiary</t>
  </si>
  <si>
    <t>Equity Investments at FVOCI -net change in fair value</t>
  </si>
  <si>
    <t>Proceeds from sale of non-controlling interest</t>
  </si>
  <si>
    <t>Q1 2024</t>
  </si>
  <si>
    <t>Q2 2024</t>
  </si>
  <si>
    <t>Q3 2024</t>
  </si>
  <si>
    <t>Q4 2024</t>
  </si>
  <si>
    <t>FY2024</t>
  </si>
  <si>
    <t>FY 2024</t>
  </si>
  <si>
    <t>Q1 2025</t>
  </si>
  <si>
    <t>FY 2015</t>
  </si>
  <si>
    <t>Deferred tax liabilities</t>
  </si>
  <si>
    <t>Q2 2025</t>
  </si>
  <si>
    <t>Treasury shares Sold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</si>
</sst>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_-* #,##0.00_-;\-* #,##0.00_-;_-* &quot;-&quot;??_-;_-@_-"/>
    <numFmt numFmtId="165" formatCode="_ * #,##0.00_ ;_ * \-#,##0.00_ ;_ * &quot;-&quot;??_ ;_ @_ "/>
    <numFmt numFmtId="166" formatCode="#,##0.0_);\(#,##0.0\)"/>
    <numFmt numFmtId="167" formatCode="_-* #,##0.0_-;\-* #,##0.0_-;_-* &quot;-&quot;??_-;_-@_-"/>
    <numFmt numFmtId="168" formatCode="_(* #,##0.0_);_(* \(#,##0.0\);_(* &quot;-&quot;??_);_(@_)"/>
    <numFmt numFmtId="169" formatCode="#,##0.0"/>
    <numFmt numFmtId="170" formatCode="0.0\ %"/>
    <numFmt numFmtId="171" formatCode="[$-414]mmm/\ yy;@"/>
    <numFmt numFmtId="172" formatCode="0.0"/>
    <numFmt numFmtId="173" formatCode="_ * #,##0_ ;_ * \-#,##0_ ;_ * &quot;-&quot;??_ ;_ @_ "/>
    <numFmt numFmtId="174" formatCode="_ * #,##0.0_ ;_ * \-#,##0.0_ ;_ * &quot;-&quot;??_ ;_ @_ "/>
    <numFmt numFmtId="175" formatCode="_-* #,##0.0_-;\-* #,##0.0_-;_-* &quot;-&quot;?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Courier"/>
      <family val="3"/>
    </font>
    <font>
      <sz val="9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color theme="1"/>
      <name val="Tahoma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rgb="FF00A98F"/>
      <name val="Calibri"/>
      <family val="2"/>
      <scheme val="minor"/>
    </font>
    <font>
      <sz val="11"/>
      <color theme="1"/>
      <name val="Calibri"/>
      <family val="2"/>
    </font>
    <font>
      <sz val="8"/>
      <color rgb="FF000000"/>
      <name val="Calibri"/>
      <family val="2"/>
    </font>
    <font>
      <b/>
      <i/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i/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1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Arial"/>
      <family val="2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55A7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0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5" fillId="0" borderId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5" fillId="0" borderId="0"/>
    <xf numFmtId="171" fontId="7" fillId="0" borderId="0"/>
    <xf numFmtId="171" fontId="1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/>
    <xf numFmtId="171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85">
    <xf numFmtId="0" fontId="0" fillId="0" borderId="0" xfId="0"/>
    <xf numFmtId="0" fontId="4" fillId="0" borderId="0" xfId="0" applyFont="1"/>
    <xf numFmtId="0" fontId="2" fillId="0" borderId="0" xfId="0" applyFont="1"/>
    <xf numFmtId="0" fontId="11" fillId="0" borderId="0" xfId="0" applyFont="1" applyAlignment="1">
      <alignment vertical="center" readingOrder="1"/>
    </xf>
    <xf numFmtId="0" fontId="6" fillId="0" borderId="0" xfId="0" applyFont="1" applyAlignment="1">
      <alignment vertical="center" readingOrder="1"/>
    </xf>
    <xf numFmtId="166" fontId="6" fillId="2" borderId="0" xfId="4" applyNumberFormat="1" applyFont="1" applyFill="1" applyAlignment="1">
      <alignment vertical="center" readingOrder="1"/>
    </xf>
    <xf numFmtId="166" fontId="6" fillId="0" borderId="0" xfId="0" applyNumberFormat="1" applyFont="1" applyAlignment="1">
      <alignment vertical="center" readingOrder="1"/>
    </xf>
    <xf numFmtId="0" fontId="4" fillId="0" borderId="0" xfId="0" applyFont="1" applyAlignment="1">
      <alignment readingOrder="1"/>
    </xf>
    <xf numFmtId="0" fontId="8" fillId="0" borderId="0" xfId="0" applyFont="1" applyAlignment="1">
      <alignment horizontal="right" vertical="center" readingOrder="1"/>
    </xf>
    <xf numFmtId="0" fontId="12" fillId="0" borderId="0" xfId="0" applyFont="1"/>
    <xf numFmtId="173" fontId="13" fillId="0" borderId="0" xfId="1" applyNumberFormat="1" applyFont="1" applyFill="1" applyBorder="1"/>
    <xf numFmtId="0" fontId="16" fillId="0" borderId="0" xfId="4" applyFont="1" applyAlignment="1">
      <alignment vertical="center" readingOrder="1"/>
    </xf>
    <xf numFmtId="166" fontId="16" fillId="0" borderId="0" xfId="1" applyNumberFormat="1" applyFont="1" applyFill="1" applyBorder="1" applyAlignment="1">
      <alignment horizontal="right" vertical="center" readingOrder="1"/>
    </xf>
    <xf numFmtId="166" fontId="16" fillId="3" borderId="0" xfId="1" applyNumberFormat="1" applyFont="1" applyFill="1" applyBorder="1" applyAlignment="1">
      <alignment horizontal="right" vertical="center" readingOrder="1"/>
    </xf>
    <xf numFmtId="0" fontId="16" fillId="2" borderId="0" xfId="4" applyFont="1" applyFill="1" applyAlignment="1">
      <alignment vertical="center" readingOrder="1"/>
    </xf>
    <xf numFmtId="166" fontId="16" fillId="0" borderId="0" xfId="1" applyNumberFormat="1" applyFont="1" applyFill="1" applyBorder="1" applyAlignment="1">
      <alignment vertical="center" readingOrder="1"/>
    </xf>
    <xf numFmtId="166" fontId="16" fillId="2" borderId="0" xfId="1" applyNumberFormat="1" applyFont="1" applyFill="1" applyBorder="1" applyAlignment="1">
      <alignment vertical="center" readingOrder="1"/>
    </xf>
    <xf numFmtId="0" fontId="17" fillId="0" borderId="1" xfId="4" applyFont="1" applyBorder="1" applyAlignment="1">
      <alignment vertical="center" readingOrder="1"/>
    </xf>
    <xf numFmtId="166" fontId="17" fillId="0" borderId="1" xfId="1" applyNumberFormat="1" applyFont="1" applyFill="1" applyBorder="1" applyAlignment="1">
      <alignment vertical="center" readingOrder="1"/>
    </xf>
    <xf numFmtId="166" fontId="17" fillId="3" borderId="1" xfId="1" applyNumberFormat="1" applyFont="1" applyFill="1" applyBorder="1" applyAlignment="1">
      <alignment vertical="center" readingOrder="1"/>
    </xf>
    <xf numFmtId="0" fontId="17" fillId="2" borderId="0" xfId="4" applyFont="1" applyFill="1" applyAlignment="1">
      <alignment vertical="center" readingOrder="1"/>
    </xf>
    <xf numFmtId="166" fontId="17" fillId="0" borderId="0" xfId="4" applyNumberFormat="1" applyFont="1" applyAlignment="1">
      <alignment vertical="center" readingOrder="1"/>
    </xf>
    <xf numFmtId="166" fontId="17" fillId="2" borderId="0" xfId="4" applyNumberFormat="1" applyFont="1" applyFill="1" applyAlignment="1">
      <alignment vertical="center" readingOrder="1"/>
    </xf>
    <xf numFmtId="166" fontId="17" fillId="3" borderId="0" xfId="4" applyNumberFormat="1" applyFont="1" applyFill="1" applyAlignment="1">
      <alignment vertical="center" readingOrder="1"/>
    </xf>
    <xf numFmtId="166" fontId="16" fillId="0" borderId="0" xfId="4" applyNumberFormat="1" applyFont="1" applyAlignment="1">
      <alignment vertical="center" readingOrder="1"/>
    </xf>
    <xf numFmtId="166" fontId="16" fillId="2" borderId="0" xfId="4" applyNumberFormat="1" applyFont="1" applyFill="1" applyAlignment="1">
      <alignment vertical="center" readingOrder="1"/>
    </xf>
    <xf numFmtId="168" fontId="16" fillId="0" borderId="0" xfId="4" applyNumberFormat="1" applyFont="1" applyAlignment="1">
      <alignment vertical="center" readingOrder="1"/>
    </xf>
    <xf numFmtId="168" fontId="16" fillId="2" borderId="0" xfId="4" applyNumberFormat="1" applyFont="1" applyFill="1" applyAlignment="1">
      <alignment vertical="center" readingOrder="1"/>
    </xf>
    <xf numFmtId="168" fontId="16" fillId="3" borderId="0" xfId="4" applyNumberFormat="1" applyFont="1" applyFill="1" applyAlignment="1">
      <alignment vertical="center" readingOrder="1"/>
    </xf>
    <xf numFmtId="49" fontId="16" fillId="2" borderId="0" xfId="0" applyNumberFormat="1" applyFont="1" applyFill="1" applyAlignment="1">
      <alignment vertical="center" readingOrder="1"/>
    </xf>
    <xf numFmtId="166" fontId="17" fillId="0" borderId="0" xfId="0" applyNumberFormat="1" applyFont="1" applyAlignment="1">
      <alignment vertical="center" readingOrder="1"/>
    </xf>
    <xf numFmtId="166" fontId="16" fillId="2" borderId="0" xfId="0" applyNumberFormat="1" applyFont="1" applyFill="1" applyAlignment="1">
      <alignment vertical="center" readingOrder="1"/>
    </xf>
    <xf numFmtId="166" fontId="17" fillId="3" borderId="0" xfId="0" applyNumberFormat="1" applyFont="1" applyFill="1" applyAlignment="1">
      <alignment vertical="center" readingOrder="1"/>
    </xf>
    <xf numFmtId="166" fontId="17" fillId="0" borderId="1" xfId="4" applyNumberFormat="1" applyFont="1" applyBorder="1" applyAlignment="1">
      <alignment vertical="center" readingOrder="1"/>
    </xf>
    <xf numFmtId="0" fontId="17" fillId="0" borderId="0" xfId="4" applyFont="1" applyAlignment="1">
      <alignment vertical="center" readingOrder="1"/>
    </xf>
    <xf numFmtId="166" fontId="17" fillId="0" borderId="0" xfId="1" applyNumberFormat="1" applyFont="1" applyFill="1" applyBorder="1" applyAlignment="1">
      <alignment vertical="center" readingOrder="1"/>
    </xf>
    <xf numFmtId="166" fontId="17" fillId="3" borderId="0" xfId="1" applyNumberFormat="1" applyFont="1" applyFill="1" applyBorder="1" applyAlignment="1">
      <alignment vertical="center" readingOrder="1"/>
    </xf>
    <xf numFmtId="39" fontId="16" fillId="0" borderId="0" xfId="4" applyNumberFormat="1" applyFont="1" applyAlignment="1">
      <alignment vertical="center" readingOrder="1"/>
    </xf>
    <xf numFmtId="0" fontId="16" fillId="0" borderId="0" xfId="0" applyFont="1" applyAlignment="1">
      <alignment vertical="center"/>
    </xf>
    <xf numFmtId="0" fontId="16" fillId="2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5" fillId="0" borderId="0" xfId="0" applyFont="1"/>
    <xf numFmtId="0" fontId="16" fillId="2" borderId="0" xfId="4" applyFont="1" applyFill="1" applyAlignment="1">
      <alignment vertical="center"/>
    </xf>
    <xf numFmtId="166" fontId="16" fillId="0" borderId="0" xfId="4" applyNumberFormat="1" applyFont="1" applyAlignment="1">
      <alignment horizontal="right" vertical="center"/>
    </xf>
    <xf numFmtId="166" fontId="16" fillId="2" borderId="0" xfId="4" applyNumberFormat="1" applyFont="1" applyFill="1" applyAlignment="1">
      <alignment horizontal="right" vertical="center"/>
    </xf>
    <xf numFmtId="174" fontId="18" fillId="2" borderId="0" xfId="20" applyNumberFormat="1" applyFont="1" applyFill="1" applyAlignment="1">
      <alignment horizontal="center"/>
    </xf>
    <xf numFmtId="0" fontId="17" fillId="0" borderId="1" xfId="4" applyFont="1" applyBorder="1" applyAlignment="1">
      <alignment vertical="center"/>
    </xf>
    <xf numFmtId="166" fontId="17" fillId="0" borderId="1" xfId="1" applyNumberFormat="1" applyFont="1" applyFill="1" applyBorder="1" applyAlignment="1">
      <alignment horizontal="right" vertical="center"/>
    </xf>
    <xf numFmtId="0" fontId="17" fillId="0" borderId="0" xfId="4" applyFont="1" applyAlignment="1">
      <alignment vertical="center"/>
    </xf>
    <xf numFmtId="166" fontId="17" fillId="0" borderId="0" xfId="1" applyNumberFormat="1" applyFont="1" applyFill="1" applyBorder="1" applyAlignment="1">
      <alignment horizontal="right" vertical="center"/>
    </xf>
    <xf numFmtId="0" fontId="17" fillId="0" borderId="2" xfId="4" applyFont="1" applyBorder="1" applyAlignment="1">
      <alignment vertical="center"/>
    </xf>
    <xf numFmtId="166" fontId="17" fillId="0" borderId="2" xfId="1" applyNumberFormat="1" applyFont="1" applyFill="1" applyBorder="1" applyAlignment="1">
      <alignment horizontal="right" vertical="center"/>
    </xf>
    <xf numFmtId="166" fontId="19" fillId="2" borderId="0" xfId="4" applyNumberFormat="1" applyFont="1" applyFill="1" applyAlignment="1">
      <alignment horizontal="right" vertical="center"/>
    </xf>
    <xf numFmtId="0" fontId="18" fillId="0" borderId="0" xfId="0" applyFont="1"/>
    <xf numFmtId="0" fontId="17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167" fontId="17" fillId="0" borderId="1" xfId="1" applyNumberFormat="1" applyFont="1" applyFill="1" applyBorder="1" applyAlignment="1" applyProtection="1">
      <alignment horizontal="right" vertical="center"/>
      <protection locked="0"/>
    </xf>
    <xf numFmtId="167" fontId="17" fillId="0" borderId="0" xfId="1" applyNumberFormat="1" applyFont="1" applyFill="1" applyBorder="1" applyAlignment="1" applyProtection="1">
      <alignment vertical="center" wrapText="1"/>
      <protection locked="0"/>
    </xf>
    <xf numFmtId="167" fontId="17" fillId="0" borderId="2" xfId="1" applyNumberFormat="1" applyFont="1" applyFill="1" applyBorder="1" applyAlignment="1" applyProtection="1">
      <alignment horizontal="right" vertical="center"/>
      <protection locked="0"/>
    </xf>
    <xf numFmtId="0" fontId="16" fillId="4" borderId="0" xfId="6" applyFont="1" applyFill="1" applyAlignment="1">
      <alignment vertical="center"/>
    </xf>
    <xf numFmtId="0" fontId="16" fillId="0" borderId="0" xfId="6" applyFont="1" applyAlignment="1">
      <alignment horizontal="right" vertical="center"/>
    </xf>
    <xf numFmtId="172" fontId="16" fillId="0" borderId="0" xfId="6" applyNumberFormat="1" applyFont="1" applyAlignment="1">
      <alignment horizontal="right"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6" fillId="4" borderId="0" xfId="6" applyFont="1" applyFill="1" applyAlignment="1">
      <alignment horizontal="right" vertical="center"/>
    </xf>
    <xf numFmtId="170" fontId="16" fillId="4" borderId="0" xfId="2" applyNumberFormat="1" applyFont="1" applyFill="1" applyBorder="1" applyAlignment="1">
      <alignment horizontal="right" vertical="center"/>
    </xf>
    <xf numFmtId="169" fontId="16" fillId="0" borderId="0" xfId="0" applyNumberFormat="1" applyFont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174" fontId="18" fillId="0" borderId="0" xfId="20" applyNumberFormat="1" applyFont="1" applyFill="1" applyAlignment="1">
      <alignment horizontal="center"/>
    </xf>
    <xf numFmtId="170" fontId="16" fillId="0" borderId="0" xfId="2" applyNumberFormat="1" applyFont="1" applyFill="1" applyBorder="1" applyAlignment="1">
      <alignment horizontal="right" vertical="center"/>
    </xf>
    <xf numFmtId="172" fontId="16" fillId="4" borderId="0" xfId="1" applyNumberFormat="1" applyFont="1" applyFill="1" applyBorder="1" applyAlignment="1">
      <alignment horizontal="right" vertical="center"/>
    </xf>
    <xf numFmtId="167" fontId="16" fillId="0" borderId="0" xfId="1" applyNumberFormat="1" applyFont="1" applyFill="1" applyBorder="1" applyAlignment="1" applyProtection="1">
      <alignment vertical="center"/>
      <protection locked="0"/>
    </xf>
    <xf numFmtId="172" fontId="16" fillId="0" borderId="0" xfId="1" applyNumberFormat="1" applyFont="1" applyFill="1" applyBorder="1" applyAlignment="1">
      <alignment horizontal="right" vertical="center"/>
    </xf>
    <xf numFmtId="175" fontId="16" fillId="2" borderId="0" xfId="0" applyNumberFormat="1" applyFont="1" applyFill="1" applyAlignment="1">
      <alignment vertical="center"/>
    </xf>
    <xf numFmtId="168" fontId="18" fillId="0" borderId="0" xfId="20" applyNumberFormat="1" applyFont="1" applyFill="1" applyAlignment="1">
      <alignment horizontal="center"/>
    </xf>
    <xf numFmtId="167" fontId="16" fillId="2" borderId="0" xfId="0" applyNumberFormat="1" applyFont="1" applyFill="1" applyAlignment="1">
      <alignment vertical="center"/>
    </xf>
    <xf numFmtId="167" fontId="4" fillId="0" borderId="0" xfId="1" applyNumberFormat="1" applyFont="1"/>
    <xf numFmtId="166" fontId="16" fillId="3" borderId="0" xfId="4" applyNumberFormat="1" applyFont="1" applyFill="1" applyAlignment="1">
      <alignment horizontal="right" vertical="center"/>
    </xf>
    <xf numFmtId="174" fontId="18" fillId="3" borderId="0" xfId="20" applyNumberFormat="1" applyFont="1" applyFill="1" applyAlignment="1">
      <alignment horizontal="center"/>
    </xf>
    <xf numFmtId="166" fontId="17" fillId="3" borderId="1" xfId="1" applyNumberFormat="1" applyFont="1" applyFill="1" applyBorder="1" applyAlignment="1">
      <alignment horizontal="right" vertical="center"/>
    </xf>
    <xf numFmtId="166" fontId="17" fillId="3" borderId="0" xfId="1" applyNumberFormat="1" applyFont="1" applyFill="1" applyBorder="1" applyAlignment="1">
      <alignment horizontal="right" vertical="center"/>
    </xf>
    <xf numFmtId="166" fontId="17" fillId="3" borderId="2" xfId="1" applyNumberFormat="1" applyFont="1" applyFill="1" applyBorder="1" applyAlignment="1">
      <alignment horizontal="right" vertical="center"/>
    </xf>
    <xf numFmtId="39" fontId="16" fillId="0" borderId="0" xfId="1" applyNumberFormat="1" applyFont="1" applyFill="1" applyBorder="1" applyAlignment="1">
      <alignment horizontal="right" vertical="center" readingOrder="1"/>
    </xf>
    <xf numFmtId="43" fontId="16" fillId="0" borderId="0" xfId="4" applyNumberFormat="1" applyFont="1" applyAlignment="1">
      <alignment vertical="center" readingOrder="1"/>
    </xf>
    <xf numFmtId="0" fontId="6" fillId="0" borderId="0" xfId="0" applyFont="1" applyAlignment="1">
      <alignment horizontal="right" vertical="center" readingOrder="1"/>
    </xf>
    <xf numFmtId="0" fontId="5" fillId="0" borderId="0" xfId="0" applyFont="1" applyAlignment="1">
      <alignment horizontal="right"/>
    </xf>
    <xf numFmtId="167" fontId="0" fillId="0" borderId="0" xfId="1" applyNumberFormat="1" applyFont="1"/>
    <xf numFmtId="167" fontId="20" fillId="0" borderId="1" xfId="1" applyNumberFormat="1" applyFont="1" applyFill="1" applyBorder="1" applyAlignment="1" applyProtection="1">
      <alignment horizontal="right" vertical="center"/>
      <protection locked="0"/>
    </xf>
    <xf numFmtId="167" fontId="20" fillId="0" borderId="0" xfId="1" applyNumberFormat="1" applyFont="1" applyFill="1" applyBorder="1" applyAlignment="1" applyProtection="1">
      <alignment vertical="center" wrapText="1"/>
      <protection locked="0"/>
    </xf>
    <xf numFmtId="167" fontId="20" fillId="0" borderId="2" xfId="1" applyNumberFormat="1" applyFont="1" applyFill="1" applyBorder="1" applyAlignment="1" applyProtection="1">
      <alignment horizontal="right" vertical="center"/>
      <protection locked="0"/>
    </xf>
    <xf numFmtId="167" fontId="18" fillId="0" borderId="0" xfId="1" applyNumberFormat="1" applyFont="1" applyFill="1" applyBorder="1" applyAlignment="1" applyProtection="1">
      <alignment vertical="center"/>
      <protection locked="0"/>
    </xf>
    <xf numFmtId="169" fontId="4" fillId="0" borderId="0" xfId="0" applyNumberFormat="1" applyFont="1"/>
    <xf numFmtId="49" fontId="18" fillId="0" borderId="0" xfId="3" applyNumberFormat="1" applyFont="1" applyAlignment="1" applyProtection="1">
      <alignment vertical="center"/>
      <protection locked="0"/>
    </xf>
    <xf numFmtId="0" fontId="14" fillId="5" borderId="1" xfId="0" applyFont="1" applyFill="1" applyBorder="1" applyAlignment="1">
      <alignment horizontal="left" vertical="center" readingOrder="1"/>
    </xf>
    <xf numFmtId="0" fontId="15" fillId="5" borderId="1" xfId="4" applyFont="1" applyFill="1" applyBorder="1" applyAlignment="1">
      <alignment horizontal="right" vertical="center" readingOrder="1"/>
    </xf>
    <xf numFmtId="0" fontId="15" fillId="5" borderId="1" xfId="4" applyFont="1" applyFill="1" applyBorder="1" applyAlignment="1">
      <alignment vertical="center"/>
    </xf>
    <xf numFmtId="0" fontId="15" fillId="5" borderId="1" xfId="4" applyFont="1" applyFill="1" applyBorder="1" applyAlignment="1">
      <alignment horizontal="right" vertical="center" wrapText="1" readingOrder="1"/>
    </xf>
    <xf numFmtId="49" fontId="15" fillId="5" borderId="1" xfId="3" applyNumberFormat="1" applyFont="1" applyFill="1" applyBorder="1" applyAlignment="1" applyProtection="1">
      <alignment vertical="center"/>
      <protection locked="0"/>
    </xf>
    <xf numFmtId="0" fontId="15" fillId="5" borderId="1" xfId="6" applyFont="1" applyFill="1" applyBorder="1" applyAlignment="1">
      <alignment vertical="center"/>
    </xf>
    <xf numFmtId="168" fontId="18" fillId="0" borderId="0" xfId="4" applyNumberFormat="1" applyFont="1" applyAlignment="1">
      <alignment vertical="center" readingOrder="1"/>
    </xf>
    <xf numFmtId="49" fontId="22" fillId="0" borderId="0" xfId="3" applyNumberFormat="1" applyFont="1" applyAlignment="1" applyProtection="1">
      <alignment vertical="center"/>
      <protection locked="0"/>
    </xf>
    <xf numFmtId="168" fontId="18" fillId="0" borderId="0" xfId="20" applyNumberFormat="1" applyFont="1" applyFill="1" applyBorder="1" applyAlignment="1">
      <alignment horizontal="center"/>
    </xf>
    <xf numFmtId="49" fontId="20" fillId="0" borderId="1" xfId="3" applyNumberFormat="1" applyFont="1" applyBorder="1" applyAlignment="1" applyProtection="1">
      <alignment vertical="center" wrapText="1"/>
      <protection locked="0"/>
    </xf>
    <xf numFmtId="49" fontId="20" fillId="0" borderId="0" xfId="3" applyNumberFormat="1" applyFont="1" applyAlignment="1" applyProtection="1">
      <alignment vertical="center" wrapText="1"/>
      <protection locked="0"/>
    </xf>
    <xf numFmtId="166" fontId="20" fillId="0" borderId="1" xfId="4" applyNumberFormat="1" applyFont="1" applyBorder="1" applyAlignment="1">
      <alignment vertical="center" readingOrder="1"/>
    </xf>
    <xf numFmtId="166" fontId="20" fillId="0" borderId="0" xfId="4" applyNumberFormat="1" applyFont="1" applyAlignment="1">
      <alignment vertical="center" readingOrder="1"/>
    </xf>
    <xf numFmtId="49" fontId="20" fillId="0" borderId="2" xfId="3" applyNumberFormat="1" applyFont="1" applyBorder="1" applyAlignment="1" applyProtection="1">
      <alignment vertical="center" wrapText="1"/>
      <protection locked="0"/>
    </xf>
    <xf numFmtId="49" fontId="20" fillId="0" borderId="1" xfId="3" applyNumberFormat="1" applyFont="1" applyBorder="1" applyAlignment="1" applyProtection="1">
      <alignment vertical="center"/>
      <protection locked="0"/>
    </xf>
    <xf numFmtId="49" fontId="18" fillId="0" borderId="1" xfId="3" applyNumberFormat="1" applyFont="1" applyBorder="1" applyAlignment="1" applyProtection="1">
      <alignment vertical="center"/>
      <protection locked="0"/>
    </xf>
    <xf numFmtId="168" fontId="18" fillId="0" borderId="1" xfId="20" applyNumberFormat="1" applyFont="1" applyFill="1" applyBorder="1" applyAlignment="1">
      <alignment horizontal="center"/>
    </xf>
    <xf numFmtId="168" fontId="18" fillId="0" borderId="1" xfId="4" applyNumberFormat="1" applyFont="1" applyBorder="1" applyAlignment="1">
      <alignment vertical="center" readingOrder="1"/>
    </xf>
    <xf numFmtId="168" fontId="16" fillId="0" borderId="1" xfId="4" applyNumberFormat="1" applyFont="1" applyBorder="1" applyAlignment="1">
      <alignment vertical="center" readingOrder="1"/>
    </xf>
    <xf numFmtId="174" fontId="16" fillId="3" borderId="0" xfId="20" applyNumberFormat="1" applyFont="1" applyFill="1" applyAlignment="1">
      <alignment horizontal="center"/>
    </xf>
    <xf numFmtId="174" fontId="16" fillId="0" borderId="0" xfId="20" applyNumberFormat="1" applyFont="1" applyFill="1" applyAlignment="1">
      <alignment horizontal="center"/>
    </xf>
    <xf numFmtId="0" fontId="23" fillId="5" borderId="1" xfId="0" applyFont="1" applyFill="1" applyBorder="1" applyAlignment="1">
      <alignment horizontal="left" vertical="center"/>
    </xf>
    <xf numFmtId="0" fontId="24" fillId="2" borderId="0" xfId="4" applyFont="1" applyFill="1" applyAlignment="1">
      <alignment vertical="center"/>
    </xf>
    <xf numFmtId="166" fontId="6" fillId="0" borderId="0" xfId="1" applyNumberFormat="1" applyFont="1" applyFill="1" applyBorder="1" applyAlignment="1">
      <alignment horizontal="right" vertical="center"/>
    </xf>
    <xf numFmtId="166" fontId="25" fillId="0" borderId="0" xfId="1" applyNumberFormat="1" applyFont="1" applyFill="1" applyBorder="1" applyAlignment="1">
      <alignment horizontal="right" vertical="center"/>
    </xf>
    <xf numFmtId="0" fontId="6" fillId="2" borderId="0" xfId="4" applyFont="1" applyFill="1" applyAlignment="1">
      <alignment vertical="center"/>
    </xf>
    <xf numFmtId="174" fontId="21" fillId="0" borderId="0" xfId="20" applyNumberFormat="1" applyFont="1" applyFill="1" applyAlignment="1">
      <alignment horizontal="center"/>
    </xf>
    <xf numFmtId="0" fontId="24" fillId="0" borderId="1" xfId="4" applyFont="1" applyBorder="1" applyAlignment="1">
      <alignment vertical="center"/>
    </xf>
    <xf numFmtId="166" fontId="24" fillId="0" borderId="1" xfId="1" applyNumberFormat="1" applyFont="1" applyFill="1" applyBorder="1" applyAlignment="1">
      <alignment horizontal="right" vertical="center"/>
    </xf>
    <xf numFmtId="166" fontId="24" fillId="0" borderId="0" xfId="1" applyNumberFormat="1" applyFont="1" applyFill="1" applyBorder="1" applyAlignment="1">
      <alignment horizontal="right" vertical="center"/>
    </xf>
    <xf numFmtId="0" fontId="6" fillId="0" borderId="0" xfId="4" applyFont="1" applyAlignment="1">
      <alignment vertical="center"/>
    </xf>
    <xf numFmtId="0" fontId="24" fillId="0" borderId="0" xfId="4" applyFont="1" applyAlignment="1">
      <alignment vertical="center"/>
    </xf>
    <xf numFmtId="0" fontId="4" fillId="2" borderId="0" xfId="0" applyFont="1" applyFill="1"/>
    <xf numFmtId="166" fontId="6" fillId="0" borderId="0" xfId="4" applyNumberFormat="1" applyFont="1" applyAlignment="1">
      <alignment horizontal="right" vertical="center"/>
    </xf>
    <xf numFmtId="166" fontId="24" fillId="0" borderId="0" xfId="4" applyNumberFormat="1" applyFont="1" applyAlignment="1">
      <alignment horizontal="right" vertical="center"/>
    </xf>
    <xf numFmtId="166" fontId="24" fillId="0" borderId="1" xfId="4" applyNumberFormat="1" applyFont="1" applyBorder="1" applyAlignment="1">
      <alignment horizontal="right" vertical="center"/>
    </xf>
    <xf numFmtId="174" fontId="6" fillId="0" borderId="0" xfId="20" applyNumberFormat="1" applyFont="1" applyFill="1" applyAlignment="1">
      <alignment horizontal="center"/>
    </xf>
    <xf numFmtId="164" fontId="0" fillId="0" borderId="0" xfId="0" applyNumberFormat="1"/>
    <xf numFmtId="0" fontId="26" fillId="0" borderId="0" xfId="0" applyFont="1"/>
    <xf numFmtId="168" fontId="27" fillId="0" borderId="0" xfId="4" applyNumberFormat="1" applyFont="1" applyAlignment="1">
      <alignment vertical="center" readingOrder="1"/>
    </xf>
    <xf numFmtId="0" fontId="28" fillId="0" borderId="0" xfId="0" applyFont="1"/>
    <xf numFmtId="14" fontId="15" fillId="5" borderId="1" xfId="4" applyNumberFormat="1" applyFont="1" applyFill="1" applyBorder="1" applyAlignment="1">
      <alignment horizontal="right" vertical="center" wrapText="1" readingOrder="1"/>
    </xf>
    <xf numFmtId="39" fontId="16" fillId="3" borderId="0" xfId="1" applyNumberFormat="1" applyFont="1" applyFill="1" applyBorder="1" applyAlignment="1">
      <alignment horizontal="right" vertical="center" readingOrder="1"/>
    </xf>
    <xf numFmtId="168" fontId="17" fillId="0" borderId="1" xfId="1" applyNumberFormat="1" applyFont="1" applyFill="1" applyBorder="1" applyAlignment="1" applyProtection="1">
      <alignment horizontal="right" vertical="center"/>
      <protection locked="0"/>
    </xf>
    <xf numFmtId="168" fontId="17" fillId="0" borderId="0" xfId="1" applyNumberFormat="1" applyFont="1" applyFill="1" applyBorder="1" applyAlignment="1" applyProtection="1">
      <alignment vertical="center" wrapText="1"/>
      <protection locked="0"/>
    </xf>
    <xf numFmtId="168" fontId="17" fillId="0" borderId="1" xfId="4" applyNumberFormat="1" applyFont="1" applyBorder="1" applyAlignment="1">
      <alignment vertical="center" readingOrder="1"/>
    </xf>
    <xf numFmtId="168" fontId="17" fillId="3" borderId="1" xfId="4" applyNumberFormat="1" applyFont="1" applyFill="1" applyBorder="1" applyAlignment="1">
      <alignment vertical="center" readingOrder="1"/>
    </xf>
    <xf numFmtId="168" fontId="17" fillId="0" borderId="0" xfId="4" applyNumberFormat="1" applyFont="1" applyAlignment="1">
      <alignment vertical="center" readingOrder="1"/>
    </xf>
    <xf numFmtId="168" fontId="17" fillId="0" borderId="2" xfId="1" applyNumberFormat="1" applyFont="1" applyFill="1" applyBorder="1" applyAlignment="1" applyProtection="1">
      <alignment horizontal="right" vertical="center"/>
      <protection locked="0"/>
    </xf>
    <xf numFmtId="168" fontId="16" fillId="0" borderId="0" xfId="1" applyNumberFormat="1" applyFont="1" applyFill="1" applyBorder="1" applyAlignment="1" applyProtection="1">
      <alignment vertical="center"/>
      <protection locked="0"/>
    </xf>
    <xf numFmtId="170" fontId="18" fillId="0" borderId="0" xfId="2" applyNumberFormat="1" applyFont="1" applyFill="1" applyAlignment="1">
      <alignment horizontal="center"/>
    </xf>
    <xf numFmtId="169" fontId="5" fillId="0" borderId="0" xfId="0" applyNumberFormat="1" applyFont="1"/>
    <xf numFmtId="168" fontId="16" fillId="0" borderId="0" xfId="4" applyNumberFormat="1" applyFont="1" applyAlignment="1">
      <alignment horizontal="right" vertical="center"/>
    </xf>
    <xf numFmtId="174" fontId="30" fillId="0" borderId="1" xfId="20" applyNumberFormat="1" applyFont="1" applyFill="1" applyBorder="1" applyAlignment="1">
      <alignment horizontal="center"/>
    </xf>
    <xf numFmtId="166" fontId="31" fillId="0" borderId="1" xfId="1" applyNumberFormat="1" applyFont="1" applyFill="1" applyBorder="1" applyAlignment="1">
      <alignment horizontal="right" vertical="center" readingOrder="1"/>
    </xf>
    <xf numFmtId="166" fontId="31" fillId="0" borderId="0" xfId="4" applyNumberFormat="1" applyFont="1" applyAlignment="1">
      <alignment horizontal="right" vertical="center"/>
    </xf>
    <xf numFmtId="43" fontId="31" fillId="0" borderId="0" xfId="4" applyNumberFormat="1" applyFont="1" applyAlignment="1">
      <alignment vertical="center" readingOrder="1"/>
    </xf>
    <xf numFmtId="166" fontId="32" fillId="0" borderId="0" xfId="1" applyNumberFormat="1" applyFont="1" applyFill="1" applyBorder="1" applyAlignment="1">
      <alignment horizontal="right" vertical="center" readingOrder="1"/>
    </xf>
    <xf numFmtId="168" fontId="31" fillId="0" borderId="0" xfId="4" applyNumberFormat="1" applyFont="1" applyAlignment="1">
      <alignment vertical="center" readingOrder="1"/>
    </xf>
    <xf numFmtId="168" fontId="16" fillId="2" borderId="1" xfId="4" applyNumberFormat="1" applyFont="1" applyFill="1" applyBorder="1" applyAlignment="1">
      <alignment vertical="center" readingOrder="1"/>
    </xf>
    <xf numFmtId="168" fontId="16" fillId="2" borderId="0" xfId="4" applyNumberFormat="1" applyFont="1" applyFill="1" applyAlignment="1">
      <alignment horizontal="right" vertical="center"/>
    </xf>
    <xf numFmtId="168" fontId="17" fillId="2" borderId="1" xfId="1" applyNumberFormat="1" applyFont="1" applyFill="1" applyBorder="1" applyAlignment="1" applyProtection="1">
      <alignment horizontal="right" vertical="center"/>
      <protection locked="0"/>
    </xf>
    <xf numFmtId="168" fontId="17" fillId="2" borderId="0" xfId="1" applyNumberFormat="1" applyFont="1" applyFill="1" applyBorder="1" applyAlignment="1" applyProtection="1">
      <alignment vertical="center" wrapText="1"/>
      <protection locked="0"/>
    </xf>
    <xf numFmtId="168" fontId="17" fillId="2" borderId="1" xfId="4" applyNumberFormat="1" applyFont="1" applyFill="1" applyBorder="1" applyAlignment="1">
      <alignment vertical="center" readingOrder="1"/>
    </xf>
    <xf numFmtId="168" fontId="17" fillId="2" borderId="2" xfId="1" applyNumberFormat="1" applyFont="1" applyFill="1" applyBorder="1" applyAlignment="1" applyProtection="1">
      <alignment horizontal="right" vertical="center"/>
      <protection locked="0"/>
    </xf>
    <xf numFmtId="168" fontId="16" fillId="2" borderId="0" xfId="1" applyNumberFormat="1" applyFont="1" applyFill="1" applyBorder="1" applyAlignment="1" applyProtection="1">
      <alignment vertical="center"/>
      <protection locked="0"/>
    </xf>
    <xf numFmtId="39" fontId="16" fillId="0" borderId="0" xfId="1" applyNumberFormat="1" applyFont="1" applyFill="1" applyBorder="1" applyAlignment="1">
      <alignment vertical="center" readingOrder="1"/>
    </xf>
    <xf numFmtId="174" fontId="21" fillId="0" borderId="1" xfId="20" applyNumberFormat="1" applyFont="1" applyFill="1" applyBorder="1" applyAlignment="1">
      <alignment horizontal="center"/>
    </xf>
    <xf numFmtId="168" fontId="16" fillId="0" borderId="1" xfId="4" applyNumberFormat="1" applyFont="1" applyBorder="1" applyAlignment="1">
      <alignment horizontal="right" vertical="center"/>
    </xf>
    <xf numFmtId="166" fontId="6" fillId="3" borderId="0" xfId="1" applyNumberFormat="1" applyFont="1" applyFill="1" applyBorder="1" applyAlignment="1">
      <alignment horizontal="right" vertical="center"/>
    </xf>
    <xf numFmtId="166" fontId="25" fillId="3" borderId="0" xfId="1" applyNumberFormat="1" applyFont="1" applyFill="1" applyBorder="1" applyAlignment="1">
      <alignment horizontal="right" vertical="center"/>
    </xf>
    <xf numFmtId="166" fontId="6" fillId="3" borderId="0" xfId="4" applyNumberFormat="1" applyFont="1" applyFill="1" applyAlignment="1">
      <alignment horizontal="right" vertical="center"/>
    </xf>
    <xf numFmtId="166" fontId="24" fillId="3" borderId="1" xfId="1" applyNumberFormat="1" applyFont="1" applyFill="1" applyBorder="1" applyAlignment="1">
      <alignment horizontal="right" vertical="center"/>
    </xf>
    <xf numFmtId="166" fontId="24" fillId="3" borderId="0" xfId="1" applyNumberFormat="1" applyFont="1" applyFill="1" applyBorder="1" applyAlignment="1">
      <alignment horizontal="right" vertical="center"/>
    </xf>
    <xf numFmtId="174" fontId="21" fillId="3" borderId="0" xfId="20" applyNumberFormat="1" applyFont="1" applyFill="1" applyAlignment="1">
      <alignment horizontal="center"/>
    </xf>
    <xf numFmtId="166" fontId="24" fillId="3" borderId="0" xfId="4" applyNumberFormat="1" applyFont="1" applyFill="1" applyAlignment="1">
      <alignment horizontal="right" vertical="center"/>
    </xf>
    <xf numFmtId="166" fontId="24" fillId="3" borderId="1" xfId="4" applyNumberFormat="1" applyFont="1" applyFill="1" applyBorder="1" applyAlignment="1">
      <alignment horizontal="right" vertical="center"/>
    </xf>
    <xf numFmtId="168" fontId="16" fillId="3" borderId="0" xfId="4" applyNumberFormat="1" applyFont="1" applyFill="1" applyAlignment="1">
      <alignment horizontal="right" vertical="center"/>
    </xf>
    <xf numFmtId="168" fontId="17" fillId="3" borderId="1" xfId="1" applyNumberFormat="1" applyFont="1" applyFill="1" applyBorder="1" applyAlignment="1" applyProtection="1">
      <alignment horizontal="right" vertical="center"/>
      <protection locked="0"/>
    </xf>
    <xf numFmtId="168" fontId="17" fillId="3" borderId="0" xfId="1" applyNumberFormat="1" applyFont="1" applyFill="1" applyBorder="1" applyAlignment="1" applyProtection="1">
      <alignment vertical="center" wrapText="1"/>
      <protection locked="0"/>
    </xf>
    <xf numFmtId="168" fontId="17" fillId="3" borderId="2" xfId="1" applyNumberFormat="1" applyFont="1" applyFill="1" applyBorder="1" applyAlignment="1" applyProtection="1">
      <alignment horizontal="right" vertical="center"/>
      <protection locked="0"/>
    </xf>
    <xf numFmtId="168" fontId="16" fillId="3" borderId="0" xfId="1" applyNumberFormat="1" applyFont="1" applyFill="1" applyBorder="1" applyAlignment="1" applyProtection="1">
      <alignment vertical="center"/>
      <protection locked="0"/>
    </xf>
    <xf numFmtId="170" fontId="16" fillId="3" borderId="0" xfId="2" applyNumberFormat="1" applyFont="1" applyFill="1" applyBorder="1" applyAlignment="1">
      <alignment horizontal="right" vertical="center"/>
    </xf>
    <xf numFmtId="43" fontId="31" fillId="3" borderId="0" xfId="4" applyNumberFormat="1" applyFont="1" applyFill="1" applyAlignment="1">
      <alignment vertical="center" readingOrder="1"/>
    </xf>
    <xf numFmtId="172" fontId="16" fillId="3" borderId="0" xfId="1" applyNumberFormat="1" applyFont="1" applyFill="1" applyBorder="1" applyAlignment="1">
      <alignment horizontal="right" vertical="center"/>
    </xf>
    <xf numFmtId="3" fontId="16" fillId="3" borderId="0" xfId="0" applyNumberFormat="1" applyFont="1" applyFill="1" applyAlignment="1">
      <alignment horizontal="right" vertical="center"/>
    </xf>
    <xf numFmtId="166" fontId="32" fillId="3" borderId="0" xfId="1" applyNumberFormat="1" applyFont="1" applyFill="1" applyBorder="1" applyAlignment="1">
      <alignment horizontal="right" vertical="center" readingOrder="1"/>
    </xf>
    <xf numFmtId="164" fontId="16" fillId="3" borderId="0" xfId="1" applyFont="1" applyFill="1" applyBorder="1" applyAlignment="1">
      <alignment horizontal="right" vertical="center" readingOrder="1"/>
    </xf>
    <xf numFmtId="43" fontId="16" fillId="3" borderId="0" xfId="4" applyNumberFormat="1" applyFont="1" applyFill="1" applyAlignment="1">
      <alignment horizontal="right" vertical="center"/>
    </xf>
    <xf numFmtId="168" fontId="16" fillId="3" borderId="1" xfId="4" applyNumberFormat="1" applyFont="1" applyFill="1" applyBorder="1" applyAlignment="1">
      <alignment horizontal="right" vertical="center"/>
    </xf>
    <xf numFmtId="43" fontId="16" fillId="0" borderId="0" xfId="4" applyNumberFormat="1" applyFont="1" applyAlignment="1">
      <alignment horizontal="right" vertical="center"/>
    </xf>
    <xf numFmtId="14" fontId="15" fillId="5" borderId="1" xfId="4" applyNumberFormat="1" applyFont="1" applyFill="1" applyBorder="1" applyAlignment="1">
      <alignment vertical="center"/>
    </xf>
  </cellXfs>
  <cellStyles count="103">
    <cellStyle name="Comma" xfId="1" builtinId="3"/>
    <cellStyle name="Comma 2" xfId="17" xr:uid="{00000000-0005-0000-0000-000001000000}"/>
    <cellStyle name="Comma 2 2" xfId="23" xr:uid="{00000000-0005-0000-0000-000002000000}"/>
    <cellStyle name="Comma 2 3" xfId="102" xr:uid="{00000000-0005-0000-0000-000003000000}"/>
    <cellStyle name="Comma 3" xfId="9" xr:uid="{00000000-0005-0000-0000-000004000000}"/>
    <cellStyle name="Comma 3 2" xfId="22" xr:uid="{00000000-0005-0000-0000-000005000000}"/>
    <cellStyle name="Comma 3 3" xfId="101" xr:uid="{00000000-0005-0000-0000-000006000000}"/>
    <cellStyle name="Comma 4" xfId="7" xr:uid="{00000000-0005-0000-0000-000007000000}"/>
    <cellStyle name="Comma 4 2" xfId="21" xr:uid="{00000000-0005-0000-0000-000008000000}"/>
    <cellStyle name="Comma 4 3" xfId="100" xr:uid="{00000000-0005-0000-0000-000009000000}"/>
    <cellStyle name="Comma 5" xfId="20" xr:uid="{00000000-0005-0000-0000-00000A000000}"/>
    <cellStyle name="Comma 5 2" xfId="24" xr:uid="{00000000-0005-0000-0000-00000B000000}"/>
    <cellStyle name="Comma 6" xfId="99" xr:uid="{00000000-0005-0000-0000-00000C000000}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6" builtinId="9" hidden="1"/>
    <cellStyle name="Followed Hyperlink" xfId="98" builtinId="9" hidden="1"/>
    <cellStyle name="Followed Hyperlink" xfId="94" builtinId="9" hidden="1"/>
    <cellStyle name="Followed Hyperlink" xfId="86" builtinId="9" hidden="1"/>
    <cellStyle name="Followed Hyperlink" xfId="78" builtinId="9" hidden="1"/>
    <cellStyle name="Followed Hyperlink" xfId="70" builtinId="9" hidden="1"/>
    <cellStyle name="Followed Hyperlink" xfId="62" builtinId="9" hidden="1"/>
    <cellStyle name="Followed Hyperlink" xfId="54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46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0" builtinId="9" hidden="1"/>
    <cellStyle name="Followed Hyperlink" xfId="28" builtinId="9" hidden="1"/>
    <cellStyle name="Followed Hyperlink" xfId="26" builtinId="9" hidden="1"/>
    <cellStyle name="Hyperlink" xfId="83" builtinId="8" hidden="1"/>
    <cellStyle name="Hyperlink" xfId="85" builtinId="8" hidden="1"/>
    <cellStyle name="Hyperlink" xfId="89" builtinId="8" hidden="1"/>
    <cellStyle name="Hyperlink" xfId="91" builtinId="8" hidden="1"/>
    <cellStyle name="Hyperlink" xfId="93" builtinId="8" hidden="1"/>
    <cellStyle name="Hyperlink" xfId="97" builtinId="8" hidden="1"/>
    <cellStyle name="Hyperlink" xfId="95" builtinId="8" hidden="1"/>
    <cellStyle name="Hyperlink" xfId="87" builtinId="8" hidden="1"/>
    <cellStyle name="Hyperlink" xfId="49" builtinId="8" hidden="1"/>
    <cellStyle name="Hyperlink" xfId="51" builtinId="8" hidden="1"/>
    <cellStyle name="Hyperlink" xfId="53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71" builtinId="8" hidden="1"/>
    <cellStyle name="Hyperlink" xfId="55" builtinId="8" hidden="1"/>
    <cellStyle name="Hyperlink" xfId="35" builtinId="8" hidden="1"/>
    <cellStyle name="Hyperlink" xfId="37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39" builtinId="8" hidden="1"/>
    <cellStyle name="Hyperlink" xfId="29" builtinId="8" hidden="1"/>
    <cellStyle name="Hyperlink" xfId="31" builtinId="8" hidden="1"/>
    <cellStyle name="Hyperlink" xfId="33" builtinId="8" hidden="1"/>
    <cellStyle name="Hyperlink" xfId="27" builtinId="8" hidden="1"/>
    <cellStyle name="Hyperlink" xfId="25" builtinId="8" hidden="1"/>
    <cellStyle name="Normal" xfId="0" builtinId="0"/>
    <cellStyle name="Normal 14 10" xfId="19" xr:uid="{00000000-0005-0000-0000-000058000000}"/>
    <cellStyle name="Normal 2" xfId="5" xr:uid="{00000000-0005-0000-0000-000059000000}"/>
    <cellStyle name="Normal 2 2" xfId="15" xr:uid="{00000000-0005-0000-0000-00005A000000}"/>
    <cellStyle name="Normal 2 3" xfId="10" xr:uid="{00000000-0005-0000-0000-00005B000000}"/>
    <cellStyle name="Normal 3" xfId="11" xr:uid="{00000000-0005-0000-0000-00005C000000}"/>
    <cellStyle name="Normal 4" xfId="6" xr:uid="{00000000-0005-0000-0000-00005D000000}"/>
    <cellStyle name="Normal 4 2" xfId="16" xr:uid="{00000000-0005-0000-0000-00005E000000}"/>
    <cellStyle name="Normal 5" xfId="8" xr:uid="{00000000-0005-0000-0000-00005F000000}"/>
    <cellStyle name="Normal 8" xfId="12" xr:uid="{00000000-0005-0000-0000-000060000000}"/>
    <cellStyle name="Normal_Kopi av 2006 02 08 Regnskap konsern 2005Eng" xfId="3" xr:uid="{00000000-0005-0000-0000-000061000000}"/>
    <cellStyle name="Normal_Notemal" xfId="4" xr:uid="{00000000-0005-0000-0000-000062000000}"/>
    <cellStyle name="Percent" xfId="2" builtinId="5"/>
    <cellStyle name="Percent 2" xfId="14" xr:uid="{00000000-0005-0000-0000-000064000000}"/>
    <cellStyle name="Percent 3" xfId="18" xr:uid="{00000000-0005-0000-0000-000065000000}"/>
    <cellStyle name="Percent 4" xfId="13" xr:uid="{00000000-0005-0000-0000-000066000000}"/>
  </cellStyles>
  <dxfs count="0"/>
  <tableStyles count="0" defaultTableStyle="TableStyleMedium2" defaultPivotStyle="PivotStyleLight16"/>
  <colors>
    <mruColors>
      <color rgb="FFFF66FF"/>
      <color rgb="FF92CDDC"/>
      <color rgb="FF00A98F"/>
      <color rgb="FFF8A712"/>
      <color rgb="FF001E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  <pageSetUpPr fitToPage="1"/>
  </sheetPr>
  <dimension ref="A1:AW49"/>
  <sheetViews>
    <sheetView showGridLines="0" zoomScale="87" zoomScaleNormal="90" zoomScalePageLayoutView="120" workbookViewId="0">
      <selection activeCell="AR1" sqref="AR1:AR1048576"/>
    </sheetView>
  </sheetViews>
  <sheetFormatPr defaultColWidth="8.85546875" defaultRowHeight="12" x14ac:dyDescent="0.2"/>
  <cols>
    <col min="1" max="1" width="46.28515625" style="1" customWidth="1"/>
    <col min="2" max="22" width="10.85546875" style="1" hidden="1" customWidth="1"/>
    <col min="23" max="26" width="10.85546875" style="76" hidden="1" customWidth="1"/>
    <col min="27" max="31" width="10.85546875" style="1" hidden="1" customWidth="1"/>
    <col min="32" max="34" width="8.85546875" style="1" hidden="1" customWidth="1"/>
    <col min="35" max="35" width="10.85546875" style="1" hidden="1" customWidth="1"/>
    <col min="36" max="37" width="8.85546875" style="1" hidden="1" customWidth="1"/>
    <col min="38" max="40" width="8.85546875" style="1"/>
    <col min="41" max="43" width="7.7109375" style="1" bestFit="1" customWidth="1"/>
    <col min="44" max="44" width="8.85546875" style="1"/>
    <col min="45" max="49" width="7.7109375" style="1" bestFit="1" customWidth="1"/>
    <col min="50" max="242" width="8.85546875" style="1"/>
    <col min="243" max="243" width="41.140625" style="1" customWidth="1"/>
    <col min="244" max="244" width="5.42578125" style="1" customWidth="1"/>
    <col min="245" max="247" width="9.140625" style="1" customWidth="1"/>
    <col min="248" max="250" width="8.85546875" style="1"/>
    <col min="251" max="251" width="8.85546875" style="1" customWidth="1"/>
    <col min="252" max="498" width="8.85546875" style="1"/>
    <col min="499" max="499" width="41.140625" style="1" customWidth="1"/>
    <col min="500" max="500" width="5.42578125" style="1" customWidth="1"/>
    <col min="501" max="503" width="9.140625" style="1" customWidth="1"/>
    <col min="504" max="506" width="8.85546875" style="1"/>
    <col min="507" max="507" width="8.85546875" style="1" customWidth="1"/>
    <col min="508" max="754" width="8.85546875" style="1"/>
    <col min="755" max="755" width="41.140625" style="1" customWidth="1"/>
    <col min="756" max="756" width="5.42578125" style="1" customWidth="1"/>
    <col min="757" max="759" width="9.140625" style="1" customWidth="1"/>
    <col min="760" max="762" width="8.85546875" style="1"/>
    <col min="763" max="763" width="8.85546875" style="1" customWidth="1"/>
    <col min="764" max="1010" width="8.85546875" style="1"/>
    <col min="1011" max="1011" width="41.140625" style="1" customWidth="1"/>
    <col min="1012" max="1012" width="5.42578125" style="1" customWidth="1"/>
    <col min="1013" max="1015" width="9.140625" style="1" customWidth="1"/>
    <col min="1016" max="1018" width="8.85546875" style="1"/>
    <col min="1019" max="1019" width="8.85546875" style="1" customWidth="1"/>
    <col min="1020" max="1266" width="8.85546875" style="1"/>
    <col min="1267" max="1267" width="41.140625" style="1" customWidth="1"/>
    <col min="1268" max="1268" width="5.42578125" style="1" customWidth="1"/>
    <col min="1269" max="1271" width="9.140625" style="1" customWidth="1"/>
    <col min="1272" max="1274" width="8.85546875" style="1"/>
    <col min="1275" max="1275" width="8.85546875" style="1" customWidth="1"/>
    <col min="1276" max="1522" width="8.85546875" style="1"/>
    <col min="1523" max="1523" width="41.140625" style="1" customWidth="1"/>
    <col min="1524" max="1524" width="5.42578125" style="1" customWidth="1"/>
    <col min="1525" max="1527" width="9.140625" style="1" customWidth="1"/>
    <col min="1528" max="1530" width="8.85546875" style="1"/>
    <col min="1531" max="1531" width="8.85546875" style="1" customWidth="1"/>
    <col min="1532" max="1778" width="8.85546875" style="1"/>
    <col min="1779" max="1779" width="41.140625" style="1" customWidth="1"/>
    <col min="1780" max="1780" width="5.42578125" style="1" customWidth="1"/>
    <col min="1781" max="1783" width="9.140625" style="1" customWidth="1"/>
    <col min="1784" max="1786" width="8.85546875" style="1"/>
    <col min="1787" max="1787" width="8.85546875" style="1" customWidth="1"/>
    <col min="1788" max="2034" width="8.85546875" style="1"/>
    <col min="2035" max="2035" width="41.140625" style="1" customWidth="1"/>
    <col min="2036" max="2036" width="5.42578125" style="1" customWidth="1"/>
    <col min="2037" max="2039" width="9.140625" style="1" customWidth="1"/>
    <col min="2040" max="2042" width="8.85546875" style="1"/>
    <col min="2043" max="2043" width="8.85546875" style="1" customWidth="1"/>
    <col min="2044" max="2290" width="8.85546875" style="1"/>
    <col min="2291" max="2291" width="41.140625" style="1" customWidth="1"/>
    <col min="2292" max="2292" width="5.42578125" style="1" customWidth="1"/>
    <col min="2293" max="2295" width="9.140625" style="1" customWidth="1"/>
    <col min="2296" max="2298" width="8.85546875" style="1"/>
    <col min="2299" max="2299" width="8.85546875" style="1" customWidth="1"/>
    <col min="2300" max="2546" width="8.85546875" style="1"/>
    <col min="2547" max="2547" width="41.140625" style="1" customWidth="1"/>
    <col min="2548" max="2548" width="5.42578125" style="1" customWidth="1"/>
    <col min="2549" max="2551" width="9.140625" style="1" customWidth="1"/>
    <col min="2552" max="2554" width="8.85546875" style="1"/>
    <col min="2555" max="2555" width="8.85546875" style="1" customWidth="1"/>
    <col min="2556" max="2802" width="8.85546875" style="1"/>
    <col min="2803" max="2803" width="41.140625" style="1" customWidth="1"/>
    <col min="2804" max="2804" width="5.42578125" style="1" customWidth="1"/>
    <col min="2805" max="2807" width="9.140625" style="1" customWidth="1"/>
    <col min="2808" max="2810" width="8.85546875" style="1"/>
    <col min="2811" max="2811" width="8.85546875" style="1" customWidth="1"/>
    <col min="2812" max="3058" width="8.85546875" style="1"/>
    <col min="3059" max="3059" width="41.140625" style="1" customWidth="1"/>
    <col min="3060" max="3060" width="5.42578125" style="1" customWidth="1"/>
    <col min="3061" max="3063" width="9.140625" style="1" customWidth="1"/>
    <col min="3064" max="3066" width="8.85546875" style="1"/>
    <col min="3067" max="3067" width="8.85546875" style="1" customWidth="1"/>
    <col min="3068" max="3314" width="8.85546875" style="1"/>
    <col min="3315" max="3315" width="41.140625" style="1" customWidth="1"/>
    <col min="3316" max="3316" width="5.42578125" style="1" customWidth="1"/>
    <col min="3317" max="3319" width="9.140625" style="1" customWidth="1"/>
    <col min="3320" max="3322" width="8.85546875" style="1"/>
    <col min="3323" max="3323" width="8.85546875" style="1" customWidth="1"/>
    <col min="3324" max="3570" width="8.85546875" style="1"/>
    <col min="3571" max="3571" width="41.140625" style="1" customWidth="1"/>
    <col min="3572" max="3572" width="5.42578125" style="1" customWidth="1"/>
    <col min="3573" max="3575" width="9.140625" style="1" customWidth="1"/>
    <col min="3576" max="3578" width="8.85546875" style="1"/>
    <col min="3579" max="3579" width="8.85546875" style="1" customWidth="1"/>
    <col min="3580" max="3826" width="8.85546875" style="1"/>
    <col min="3827" max="3827" width="41.140625" style="1" customWidth="1"/>
    <col min="3828" max="3828" width="5.42578125" style="1" customWidth="1"/>
    <col min="3829" max="3831" width="9.140625" style="1" customWidth="1"/>
    <col min="3832" max="3834" width="8.85546875" style="1"/>
    <col min="3835" max="3835" width="8.85546875" style="1" customWidth="1"/>
    <col min="3836" max="4082" width="8.85546875" style="1"/>
    <col min="4083" max="4083" width="41.140625" style="1" customWidth="1"/>
    <col min="4084" max="4084" width="5.42578125" style="1" customWidth="1"/>
    <col min="4085" max="4087" width="9.140625" style="1" customWidth="1"/>
    <col min="4088" max="4090" width="8.85546875" style="1"/>
    <col min="4091" max="4091" width="8.85546875" style="1" customWidth="1"/>
    <col min="4092" max="4338" width="8.85546875" style="1"/>
    <col min="4339" max="4339" width="41.140625" style="1" customWidth="1"/>
    <col min="4340" max="4340" width="5.42578125" style="1" customWidth="1"/>
    <col min="4341" max="4343" width="9.140625" style="1" customWidth="1"/>
    <col min="4344" max="4346" width="8.85546875" style="1"/>
    <col min="4347" max="4347" width="8.85546875" style="1" customWidth="1"/>
    <col min="4348" max="4594" width="8.85546875" style="1"/>
    <col min="4595" max="4595" width="41.140625" style="1" customWidth="1"/>
    <col min="4596" max="4596" width="5.42578125" style="1" customWidth="1"/>
    <col min="4597" max="4599" width="9.140625" style="1" customWidth="1"/>
    <col min="4600" max="4602" width="8.85546875" style="1"/>
    <col min="4603" max="4603" width="8.85546875" style="1" customWidth="1"/>
    <col min="4604" max="4850" width="8.85546875" style="1"/>
    <col min="4851" max="4851" width="41.140625" style="1" customWidth="1"/>
    <col min="4852" max="4852" width="5.42578125" style="1" customWidth="1"/>
    <col min="4853" max="4855" width="9.140625" style="1" customWidth="1"/>
    <col min="4856" max="4858" width="8.85546875" style="1"/>
    <col min="4859" max="4859" width="8.85546875" style="1" customWidth="1"/>
    <col min="4860" max="5106" width="8.85546875" style="1"/>
    <col min="5107" max="5107" width="41.140625" style="1" customWidth="1"/>
    <col min="5108" max="5108" width="5.42578125" style="1" customWidth="1"/>
    <col min="5109" max="5111" width="9.140625" style="1" customWidth="1"/>
    <col min="5112" max="5114" width="8.85546875" style="1"/>
    <col min="5115" max="5115" width="8.85546875" style="1" customWidth="1"/>
    <col min="5116" max="5362" width="8.85546875" style="1"/>
    <col min="5363" max="5363" width="41.140625" style="1" customWidth="1"/>
    <col min="5364" max="5364" width="5.42578125" style="1" customWidth="1"/>
    <col min="5365" max="5367" width="9.140625" style="1" customWidth="1"/>
    <col min="5368" max="5370" width="8.85546875" style="1"/>
    <col min="5371" max="5371" width="8.85546875" style="1" customWidth="1"/>
    <col min="5372" max="5618" width="8.85546875" style="1"/>
    <col min="5619" max="5619" width="41.140625" style="1" customWidth="1"/>
    <col min="5620" max="5620" width="5.42578125" style="1" customWidth="1"/>
    <col min="5621" max="5623" width="9.140625" style="1" customWidth="1"/>
    <col min="5624" max="5626" width="8.85546875" style="1"/>
    <col min="5627" max="5627" width="8.85546875" style="1" customWidth="1"/>
    <col min="5628" max="5874" width="8.85546875" style="1"/>
    <col min="5875" max="5875" width="41.140625" style="1" customWidth="1"/>
    <col min="5876" max="5876" width="5.42578125" style="1" customWidth="1"/>
    <col min="5877" max="5879" width="9.140625" style="1" customWidth="1"/>
    <col min="5880" max="5882" width="8.85546875" style="1"/>
    <col min="5883" max="5883" width="8.85546875" style="1" customWidth="1"/>
    <col min="5884" max="6130" width="8.85546875" style="1"/>
    <col min="6131" max="6131" width="41.140625" style="1" customWidth="1"/>
    <col min="6132" max="6132" width="5.42578125" style="1" customWidth="1"/>
    <col min="6133" max="6135" width="9.140625" style="1" customWidth="1"/>
    <col min="6136" max="6138" width="8.85546875" style="1"/>
    <col min="6139" max="6139" width="8.85546875" style="1" customWidth="1"/>
    <col min="6140" max="6386" width="8.85546875" style="1"/>
    <col min="6387" max="6387" width="41.140625" style="1" customWidth="1"/>
    <col min="6388" max="6388" width="5.42578125" style="1" customWidth="1"/>
    <col min="6389" max="6391" width="9.140625" style="1" customWidth="1"/>
    <col min="6392" max="6394" width="8.85546875" style="1"/>
    <col min="6395" max="6395" width="8.85546875" style="1" customWidth="1"/>
    <col min="6396" max="6642" width="8.85546875" style="1"/>
    <col min="6643" max="6643" width="41.140625" style="1" customWidth="1"/>
    <col min="6644" max="6644" width="5.42578125" style="1" customWidth="1"/>
    <col min="6645" max="6647" width="9.140625" style="1" customWidth="1"/>
    <col min="6648" max="6650" width="8.85546875" style="1"/>
    <col min="6651" max="6651" width="8.85546875" style="1" customWidth="1"/>
    <col min="6652" max="6898" width="8.85546875" style="1"/>
    <col min="6899" max="6899" width="41.140625" style="1" customWidth="1"/>
    <col min="6900" max="6900" width="5.42578125" style="1" customWidth="1"/>
    <col min="6901" max="6903" width="9.140625" style="1" customWidth="1"/>
    <col min="6904" max="6906" width="8.85546875" style="1"/>
    <col min="6907" max="6907" width="8.85546875" style="1" customWidth="1"/>
    <col min="6908" max="7154" width="8.85546875" style="1"/>
    <col min="7155" max="7155" width="41.140625" style="1" customWidth="1"/>
    <col min="7156" max="7156" width="5.42578125" style="1" customWidth="1"/>
    <col min="7157" max="7159" width="9.140625" style="1" customWidth="1"/>
    <col min="7160" max="7162" width="8.85546875" style="1"/>
    <col min="7163" max="7163" width="8.85546875" style="1" customWidth="1"/>
    <col min="7164" max="7410" width="8.85546875" style="1"/>
    <col min="7411" max="7411" width="41.140625" style="1" customWidth="1"/>
    <col min="7412" max="7412" width="5.42578125" style="1" customWidth="1"/>
    <col min="7413" max="7415" width="9.140625" style="1" customWidth="1"/>
    <col min="7416" max="7418" width="8.85546875" style="1"/>
    <col min="7419" max="7419" width="8.85546875" style="1" customWidth="1"/>
    <col min="7420" max="7666" width="8.85546875" style="1"/>
    <col min="7667" max="7667" width="41.140625" style="1" customWidth="1"/>
    <col min="7668" max="7668" width="5.42578125" style="1" customWidth="1"/>
    <col min="7669" max="7671" width="9.140625" style="1" customWidth="1"/>
    <col min="7672" max="7674" width="8.85546875" style="1"/>
    <col min="7675" max="7675" width="8.85546875" style="1" customWidth="1"/>
    <col min="7676" max="7922" width="8.85546875" style="1"/>
    <col min="7923" max="7923" width="41.140625" style="1" customWidth="1"/>
    <col min="7924" max="7924" width="5.42578125" style="1" customWidth="1"/>
    <col min="7925" max="7927" width="9.140625" style="1" customWidth="1"/>
    <col min="7928" max="7930" width="8.85546875" style="1"/>
    <col min="7931" max="7931" width="8.85546875" style="1" customWidth="1"/>
    <col min="7932" max="8178" width="8.85546875" style="1"/>
    <col min="8179" max="8179" width="41.140625" style="1" customWidth="1"/>
    <col min="8180" max="8180" width="5.42578125" style="1" customWidth="1"/>
    <col min="8181" max="8183" width="9.140625" style="1" customWidth="1"/>
    <col min="8184" max="8186" width="8.85546875" style="1"/>
    <col min="8187" max="8187" width="8.85546875" style="1" customWidth="1"/>
    <col min="8188" max="8434" width="8.85546875" style="1"/>
    <col min="8435" max="8435" width="41.140625" style="1" customWidth="1"/>
    <col min="8436" max="8436" width="5.42578125" style="1" customWidth="1"/>
    <col min="8437" max="8439" width="9.140625" style="1" customWidth="1"/>
    <col min="8440" max="8442" width="8.85546875" style="1"/>
    <col min="8443" max="8443" width="8.85546875" style="1" customWidth="1"/>
    <col min="8444" max="8690" width="8.85546875" style="1"/>
    <col min="8691" max="8691" width="41.140625" style="1" customWidth="1"/>
    <col min="8692" max="8692" width="5.42578125" style="1" customWidth="1"/>
    <col min="8693" max="8695" width="9.140625" style="1" customWidth="1"/>
    <col min="8696" max="8698" width="8.85546875" style="1"/>
    <col min="8699" max="8699" width="8.85546875" style="1" customWidth="1"/>
    <col min="8700" max="8946" width="8.85546875" style="1"/>
    <col min="8947" max="8947" width="41.140625" style="1" customWidth="1"/>
    <col min="8948" max="8948" width="5.42578125" style="1" customWidth="1"/>
    <col min="8949" max="8951" width="9.140625" style="1" customWidth="1"/>
    <col min="8952" max="8954" width="8.85546875" style="1"/>
    <col min="8955" max="8955" width="8.85546875" style="1" customWidth="1"/>
    <col min="8956" max="9202" width="8.85546875" style="1"/>
    <col min="9203" max="9203" width="41.140625" style="1" customWidth="1"/>
    <col min="9204" max="9204" width="5.42578125" style="1" customWidth="1"/>
    <col min="9205" max="9207" width="9.140625" style="1" customWidth="1"/>
    <col min="9208" max="9210" width="8.85546875" style="1"/>
    <col min="9211" max="9211" width="8.85546875" style="1" customWidth="1"/>
    <col min="9212" max="9458" width="8.85546875" style="1"/>
    <col min="9459" max="9459" width="41.140625" style="1" customWidth="1"/>
    <col min="9460" max="9460" width="5.42578125" style="1" customWidth="1"/>
    <col min="9461" max="9463" width="9.140625" style="1" customWidth="1"/>
    <col min="9464" max="9466" width="8.85546875" style="1"/>
    <col min="9467" max="9467" width="8.85546875" style="1" customWidth="1"/>
    <col min="9468" max="9714" width="8.85546875" style="1"/>
    <col min="9715" max="9715" width="41.140625" style="1" customWidth="1"/>
    <col min="9716" max="9716" width="5.42578125" style="1" customWidth="1"/>
    <col min="9717" max="9719" width="9.140625" style="1" customWidth="1"/>
    <col min="9720" max="9722" width="8.85546875" style="1"/>
    <col min="9723" max="9723" width="8.85546875" style="1" customWidth="1"/>
    <col min="9724" max="9970" width="8.85546875" style="1"/>
    <col min="9971" max="9971" width="41.140625" style="1" customWidth="1"/>
    <col min="9972" max="9972" width="5.42578125" style="1" customWidth="1"/>
    <col min="9973" max="9975" width="9.140625" style="1" customWidth="1"/>
    <col min="9976" max="9978" width="8.85546875" style="1"/>
    <col min="9979" max="9979" width="8.85546875" style="1" customWidth="1"/>
    <col min="9980" max="10226" width="8.85546875" style="1"/>
    <col min="10227" max="10227" width="41.140625" style="1" customWidth="1"/>
    <col min="10228" max="10228" width="5.42578125" style="1" customWidth="1"/>
    <col min="10229" max="10231" width="9.140625" style="1" customWidth="1"/>
    <col min="10232" max="10234" width="8.85546875" style="1"/>
    <col min="10235" max="10235" width="8.85546875" style="1" customWidth="1"/>
    <col min="10236" max="10482" width="8.85546875" style="1"/>
    <col min="10483" max="10483" width="41.140625" style="1" customWidth="1"/>
    <col min="10484" max="10484" width="5.42578125" style="1" customWidth="1"/>
    <col min="10485" max="10487" width="9.140625" style="1" customWidth="1"/>
    <col min="10488" max="10490" width="8.85546875" style="1"/>
    <col min="10491" max="10491" width="8.85546875" style="1" customWidth="1"/>
    <col min="10492" max="10738" width="8.85546875" style="1"/>
    <col min="10739" max="10739" width="41.140625" style="1" customWidth="1"/>
    <col min="10740" max="10740" width="5.42578125" style="1" customWidth="1"/>
    <col min="10741" max="10743" width="9.140625" style="1" customWidth="1"/>
    <col min="10744" max="10746" width="8.85546875" style="1"/>
    <col min="10747" max="10747" width="8.85546875" style="1" customWidth="1"/>
    <col min="10748" max="10994" width="8.85546875" style="1"/>
    <col min="10995" max="10995" width="41.140625" style="1" customWidth="1"/>
    <col min="10996" max="10996" width="5.42578125" style="1" customWidth="1"/>
    <col min="10997" max="10999" width="9.140625" style="1" customWidth="1"/>
    <col min="11000" max="11002" width="8.85546875" style="1"/>
    <col min="11003" max="11003" width="8.85546875" style="1" customWidth="1"/>
    <col min="11004" max="11250" width="8.85546875" style="1"/>
    <col min="11251" max="11251" width="41.140625" style="1" customWidth="1"/>
    <col min="11252" max="11252" width="5.42578125" style="1" customWidth="1"/>
    <col min="11253" max="11255" width="9.140625" style="1" customWidth="1"/>
    <col min="11256" max="11258" width="8.85546875" style="1"/>
    <col min="11259" max="11259" width="8.85546875" style="1" customWidth="1"/>
    <col min="11260" max="11506" width="8.85546875" style="1"/>
    <col min="11507" max="11507" width="41.140625" style="1" customWidth="1"/>
    <col min="11508" max="11508" width="5.42578125" style="1" customWidth="1"/>
    <col min="11509" max="11511" width="9.140625" style="1" customWidth="1"/>
    <col min="11512" max="11514" width="8.85546875" style="1"/>
    <col min="11515" max="11515" width="8.85546875" style="1" customWidth="1"/>
    <col min="11516" max="11762" width="8.85546875" style="1"/>
    <col min="11763" max="11763" width="41.140625" style="1" customWidth="1"/>
    <col min="11764" max="11764" width="5.42578125" style="1" customWidth="1"/>
    <col min="11765" max="11767" width="9.140625" style="1" customWidth="1"/>
    <col min="11768" max="11770" width="8.85546875" style="1"/>
    <col min="11771" max="11771" width="8.85546875" style="1" customWidth="1"/>
    <col min="11772" max="12018" width="8.85546875" style="1"/>
    <col min="12019" max="12019" width="41.140625" style="1" customWidth="1"/>
    <col min="12020" max="12020" width="5.42578125" style="1" customWidth="1"/>
    <col min="12021" max="12023" width="9.140625" style="1" customWidth="1"/>
    <col min="12024" max="12026" width="8.85546875" style="1"/>
    <col min="12027" max="12027" width="8.85546875" style="1" customWidth="1"/>
    <col min="12028" max="12274" width="8.85546875" style="1"/>
    <col min="12275" max="12275" width="41.140625" style="1" customWidth="1"/>
    <col min="12276" max="12276" width="5.42578125" style="1" customWidth="1"/>
    <col min="12277" max="12279" width="9.140625" style="1" customWidth="1"/>
    <col min="12280" max="12282" width="8.85546875" style="1"/>
    <col min="12283" max="12283" width="8.85546875" style="1" customWidth="1"/>
    <col min="12284" max="12530" width="8.85546875" style="1"/>
    <col min="12531" max="12531" width="41.140625" style="1" customWidth="1"/>
    <col min="12532" max="12532" width="5.42578125" style="1" customWidth="1"/>
    <col min="12533" max="12535" width="9.140625" style="1" customWidth="1"/>
    <col min="12536" max="12538" width="8.85546875" style="1"/>
    <col min="12539" max="12539" width="8.85546875" style="1" customWidth="1"/>
    <col min="12540" max="12786" width="8.85546875" style="1"/>
    <col min="12787" max="12787" width="41.140625" style="1" customWidth="1"/>
    <col min="12788" max="12788" width="5.42578125" style="1" customWidth="1"/>
    <col min="12789" max="12791" width="9.140625" style="1" customWidth="1"/>
    <col min="12792" max="12794" width="8.85546875" style="1"/>
    <col min="12795" max="12795" width="8.85546875" style="1" customWidth="1"/>
    <col min="12796" max="13042" width="8.85546875" style="1"/>
    <col min="13043" max="13043" width="41.140625" style="1" customWidth="1"/>
    <col min="13044" max="13044" width="5.42578125" style="1" customWidth="1"/>
    <col min="13045" max="13047" width="9.140625" style="1" customWidth="1"/>
    <col min="13048" max="13050" width="8.85546875" style="1"/>
    <col min="13051" max="13051" width="8.85546875" style="1" customWidth="1"/>
    <col min="13052" max="13298" width="8.85546875" style="1"/>
    <col min="13299" max="13299" width="41.140625" style="1" customWidth="1"/>
    <col min="13300" max="13300" width="5.42578125" style="1" customWidth="1"/>
    <col min="13301" max="13303" width="9.140625" style="1" customWidth="1"/>
    <col min="13304" max="13306" width="8.85546875" style="1"/>
    <col min="13307" max="13307" width="8.85546875" style="1" customWidth="1"/>
    <col min="13308" max="13554" width="8.85546875" style="1"/>
    <col min="13555" max="13555" width="41.140625" style="1" customWidth="1"/>
    <col min="13556" max="13556" width="5.42578125" style="1" customWidth="1"/>
    <col min="13557" max="13559" width="9.140625" style="1" customWidth="1"/>
    <col min="13560" max="13562" width="8.85546875" style="1"/>
    <col min="13563" max="13563" width="8.85546875" style="1" customWidth="1"/>
    <col min="13564" max="13810" width="8.85546875" style="1"/>
    <col min="13811" max="13811" width="41.140625" style="1" customWidth="1"/>
    <col min="13812" max="13812" width="5.42578125" style="1" customWidth="1"/>
    <col min="13813" max="13815" width="9.140625" style="1" customWidth="1"/>
    <col min="13816" max="13818" width="8.85546875" style="1"/>
    <col min="13819" max="13819" width="8.85546875" style="1" customWidth="1"/>
    <col min="13820" max="14066" width="8.85546875" style="1"/>
    <col min="14067" max="14067" width="41.140625" style="1" customWidth="1"/>
    <col min="14068" max="14068" width="5.42578125" style="1" customWidth="1"/>
    <col min="14069" max="14071" width="9.140625" style="1" customWidth="1"/>
    <col min="14072" max="14074" width="8.85546875" style="1"/>
    <col min="14075" max="14075" width="8.85546875" style="1" customWidth="1"/>
    <col min="14076" max="14322" width="8.85546875" style="1"/>
    <col min="14323" max="14323" width="41.140625" style="1" customWidth="1"/>
    <col min="14324" max="14324" width="5.42578125" style="1" customWidth="1"/>
    <col min="14325" max="14327" width="9.140625" style="1" customWidth="1"/>
    <col min="14328" max="14330" width="8.85546875" style="1"/>
    <col min="14331" max="14331" width="8.85546875" style="1" customWidth="1"/>
    <col min="14332" max="14578" width="8.85546875" style="1"/>
    <col min="14579" max="14579" width="41.140625" style="1" customWidth="1"/>
    <col min="14580" max="14580" width="5.42578125" style="1" customWidth="1"/>
    <col min="14581" max="14583" width="9.140625" style="1" customWidth="1"/>
    <col min="14584" max="14586" width="8.85546875" style="1"/>
    <col min="14587" max="14587" width="8.85546875" style="1" customWidth="1"/>
    <col min="14588" max="14834" width="8.85546875" style="1"/>
    <col min="14835" max="14835" width="41.140625" style="1" customWidth="1"/>
    <col min="14836" max="14836" width="5.42578125" style="1" customWidth="1"/>
    <col min="14837" max="14839" width="9.140625" style="1" customWidth="1"/>
    <col min="14840" max="14842" width="8.85546875" style="1"/>
    <col min="14843" max="14843" width="8.85546875" style="1" customWidth="1"/>
    <col min="14844" max="15090" width="8.85546875" style="1"/>
    <col min="15091" max="15091" width="41.140625" style="1" customWidth="1"/>
    <col min="15092" max="15092" width="5.42578125" style="1" customWidth="1"/>
    <col min="15093" max="15095" width="9.140625" style="1" customWidth="1"/>
    <col min="15096" max="15098" width="8.85546875" style="1"/>
    <col min="15099" max="15099" width="8.85546875" style="1" customWidth="1"/>
    <col min="15100" max="15346" width="8.85546875" style="1"/>
    <col min="15347" max="15347" width="41.140625" style="1" customWidth="1"/>
    <col min="15348" max="15348" width="5.42578125" style="1" customWidth="1"/>
    <col min="15349" max="15351" width="9.140625" style="1" customWidth="1"/>
    <col min="15352" max="15354" width="8.85546875" style="1"/>
    <col min="15355" max="15355" width="8.85546875" style="1" customWidth="1"/>
    <col min="15356" max="15602" width="8.85546875" style="1"/>
    <col min="15603" max="15603" width="41.140625" style="1" customWidth="1"/>
    <col min="15604" max="15604" width="5.42578125" style="1" customWidth="1"/>
    <col min="15605" max="15607" width="9.140625" style="1" customWidth="1"/>
    <col min="15608" max="15610" width="8.85546875" style="1"/>
    <col min="15611" max="15611" width="8.85546875" style="1" customWidth="1"/>
    <col min="15612" max="15858" width="8.85546875" style="1"/>
    <col min="15859" max="15859" width="41.140625" style="1" customWidth="1"/>
    <col min="15860" max="15860" width="5.42578125" style="1" customWidth="1"/>
    <col min="15861" max="15863" width="9.140625" style="1" customWidth="1"/>
    <col min="15864" max="15866" width="8.85546875" style="1"/>
    <col min="15867" max="15867" width="8.85546875" style="1" customWidth="1"/>
    <col min="15868" max="16114" width="8.85546875" style="1"/>
    <col min="16115" max="16115" width="41.140625" style="1" customWidth="1"/>
    <col min="16116" max="16116" width="5.42578125" style="1" customWidth="1"/>
    <col min="16117" max="16119" width="9.140625" style="1" customWidth="1"/>
    <col min="16120" max="16122" width="8.85546875" style="1"/>
    <col min="16123" max="16123" width="8.85546875" style="1" customWidth="1"/>
    <col min="16124" max="16384" width="8.85546875" style="1"/>
  </cols>
  <sheetData>
    <row r="1" spans="1:49" ht="13.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7"/>
      <c r="V1" s="4"/>
    </row>
    <row r="2" spans="1:49" ht="13.5" customHeight="1" x14ac:dyDescent="0.2">
      <c r="A2" s="93"/>
      <c r="B2" s="94" t="s">
        <v>214</v>
      </c>
      <c r="C2" s="94" t="s">
        <v>0</v>
      </c>
      <c r="D2" s="94" t="s">
        <v>1</v>
      </c>
      <c r="E2" s="94" t="s">
        <v>2</v>
      </c>
      <c r="F2" s="94" t="s">
        <v>3</v>
      </c>
      <c r="G2" s="94" t="s">
        <v>4</v>
      </c>
      <c r="H2" s="94" t="s">
        <v>5</v>
      </c>
      <c r="I2" s="94" t="s">
        <v>6</v>
      </c>
      <c r="J2" s="94" t="s">
        <v>7</v>
      </c>
      <c r="K2" s="94" t="s">
        <v>8</v>
      </c>
      <c r="L2" s="94" t="s">
        <v>9</v>
      </c>
      <c r="M2" s="94" t="s">
        <v>10</v>
      </c>
      <c r="N2" s="94" t="s">
        <v>11</v>
      </c>
      <c r="O2" s="94" t="s">
        <v>12</v>
      </c>
      <c r="P2" s="94" t="s">
        <v>13</v>
      </c>
      <c r="Q2" s="94" t="s">
        <v>14</v>
      </c>
      <c r="R2" s="94" t="s">
        <v>15</v>
      </c>
      <c r="S2" s="94" t="s">
        <v>16</v>
      </c>
      <c r="T2" s="94" t="s">
        <v>17</v>
      </c>
      <c r="U2" s="94" t="s">
        <v>18</v>
      </c>
      <c r="V2" s="94" t="s">
        <v>19</v>
      </c>
      <c r="W2" s="94" t="s">
        <v>20</v>
      </c>
      <c r="X2" s="94" t="s">
        <v>21</v>
      </c>
      <c r="Y2" s="94" t="s">
        <v>22</v>
      </c>
      <c r="Z2" s="94" t="s">
        <v>23</v>
      </c>
      <c r="AA2" s="94" t="s">
        <v>24</v>
      </c>
      <c r="AB2" s="94" t="s">
        <v>25</v>
      </c>
      <c r="AC2" s="94" t="s">
        <v>26</v>
      </c>
      <c r="AD2" s="94" t="s">
        <v>27</v>
      </c>
      <c r="AE2" s="94" t="s">
        <v>28</v>
      </c>
      <c r="AF2" s="94" t="s">
        <v>29</v>
      </c>
      <c r="AG2" s="94" t="s">
        <v>30</v>
      </c>
      <c r="AH2" s="94" t="s">
        <v>31</v>
      </c>
      <c r="AI2" s="94" t="s">
        <v>32</v>
      </c>
      <c r="AJ2" s="94" t="s">
        <v>33</v>
      </c>
      <c r="AK2" s="94" t="s">
        <v>34</v>
      </c>
      <c r="AL2" s="94" t="s">
        <v>198</v>
      </c>
      <c r="AM2" s="94" t="s">
        <v>199</v>
      </c>
      <c r="AN2" s="94" t="s">
        <v>200</v>
      </c>
      <c r="AO2" s="94" t="s">
        <v>201</v>
      </c>
      <c r="AP2" s="94" t="s">
        <v>202</v>
      </c>
      <c r="AQ2" s="94" t="s">
        <v>207</v>
      </c>
      <c r="AR2" s="94" t="s">
        <v>208</v>
      </c>
      <c r="AS2" s="94" t="s">
        <v>209</v>
      </c>
      <c r="AT2" s="94" t="s">
        <v>210</v>
      </c>
      <c r="AU2" s="94" t="s">
        <v>212</v>
      </c>
      <c r="AV2" s="94" t="s">
        <v>213</v>
      </c>
      <c r="AW2" s="94" t="s">
        <v>216</v>
      </c>
    </row>
    <row r="3" spans="1:49" ht="13.5" customHeight="1" x14ac:dyDescent="0.2">
      <c r="A3" s="11" t="s">
        <v>35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</row>
    <row r="4" spans="1:49" ht="13.5" customHeight="1" x14ac:dyDescent="0.2">
      <c r="A4" s="11" t="s">
        <v>36</v>
      </c>
      <c r="B4" s="12">
        <v>1108</v>
      </c>
      <c r="C4" s="12">
        <v>214.4</v>
      </c>
      <c r="D4" s="12">
        <v>172.5</v>
      </c>
      <c r="E4" s="12">
        <v>159.6</v>
      </c>
      <c r="F4" s="12">
        <v>298.2</v>
      </c>
      <c r="G4" s="12">
        <f>SUM(C4:F4)</f>
        <v>844.7</v>
      </c>
      <c r="H4" s="12">
        <f>159.6+0.2</f>
        <v>159.79999999999998</v>
      </c>
      <c r="I4" s="12">
        <f>163.4+0.8</f>
        <v>164.20000000000002</v>
      </c>
      <c r="J4" s="12">
        <f>152.7+0.9</f>
        <v>153.6</v>
      </c>
      <c r="K4" s="12">
        <f>150.3+1.1</f>
        <v>151.4</v>
      </c>
      <c r="L4" s="12">
        <f>626+3</f>
        <v>629</v>
      </c>
      <c r="M4" s="12">
        <f>192.5+1.7</f>
        <v>194.2</v>
      </c>
      <c r="N4" s="12">
        <f>200.2+2.5</f>
        <v>202.7</v>
      </c>
      <c r="O4" s="12">
        <f t="shared" ref="O4" si="0">222.3-8.7+5.1</f>
        <v>218.70000000000002</v>
      </c>
      <c r="P4" s="12">
        <f>255.4-30.5+21.7</f>
        <v>246.6</v>
      </c>
      <c r="Q4" s="12">
        <f>861.5+0.7</f>
        <v>862.2</v>
      </c>
      <c r="R4" s="12">
        <f>296.4-84+18.1</f>
        <v>230.49999999999997</v>
      </c>
      <c r="S4" s="12">
        <f>286-56.2+21.4</f>
        <v>251.20000000000002</v>
      </c>
      <c r="T4" s="12">
        <f>267.2-49.5+20</f>
        <v>237.7</v>
      </c>
      <c r="U4" s="12">
        <f>303.4-92.7+17.3</f>
        <v>228</v>
      </c>
      <c r="V4" s="12">
        <f>SUM(R4:U4)</f>
        <v>947.4</v>
      </c>
      <c r="W4" s="12">
        <f>237.7+20</f>
        <v>257.7</v>
      </c>
      <c r="X4" s="12">
        <f>213.2-2.2</f>
        <v>211</v>
      </c>
      <c r="Y4" s="12">
        <v>195.1</v>
      </c>
      <c r="Z4" s="12">
        <f>226.7-4.2</f>
        <v>222.5</v>
      </c>
      <c r="AA4" s="12">
        <f>SUM(W4:Z4)</f>
        <v>886.3</v>
      </c>
      <c r="AB4" s="12">
        <v>218.9</v>
      </c>
      <c r="AC4" s="12">
        <v>207.8</v>
      </c>
      <c r="AD4" s="12">
        <v>199.6</v>
      </c>
      <c r="AE4" s="12">
        <v>203</v>
      </c>
      <c r="AF4" s="12">
        <f>+AE4+AD4+AC4+AB4</f>
        <v>829.30000000000007</v>
      </c>
      <c r="AG4" s="12">
        <v>193.6</v>
      </c>
      <c r="AH4" s="12">
        <v>192.8</v>
      </c>
      <c r="AI4" s="12">
        <v>176.5</v>
      </c>
      <c r="AJ4" s="12">
        <v>211.2</v>
      </c>
      <c r="AK4" s="12">
        <f>SUM(AG4:AJ4)</f>
        <v>774.09999999999991</v>
      </c>
      <c r="AL4" s="12">
        <v>166.3</v>
      </c>
      <c r="AM4" s="12">
        <f>165.2+0.9</f>
        <v>166.1</v>
      </c>
      <c r="AN4" s="12">
        <v>156.4</v>
      </c>
      <c r="AO4" s="12">
        <v>170.4</v>
      </c>
      <c r="AP4" s="12">
        <f>SUM(AL4:AO4)</f>
        <v>659.19999999999993</v>
      </c>
      <c r="AQ4" s="12">
        <v>168.6</v>
      </c>
      <c r="AR4" s="12">
        <v>151.9</v>
      </c>
      <c r="AS4" s="12">
        <v>150.9</v>
      </c>
      <c r="AT4" s="12">
        <v>135.30000000000001</v>
      </c>
      <c r="AU4" s="12">
        <f>SUM(AQ4:AT4)</f>
        <v>606.70000000000005</v>
      </c>
      <c r="AV4" s="12">
        <v>153.4</v>
      </c>
      <c r="AW4" s="13">
        <v>127.8</v>
      </c>
    </row>
    <row r="5" spans="1:49" s="2" customFormat="1" ht="13.5" customHeight="1" x14ac:dyDescent="0.2">
      <c r="A5" s="14" t="s">
        <v>37</v>
      </c>
      <c r="B5" s="12">
        <v>-570.6</v>
      </c>
      <c r="C5" s="12">
        <v>-117.1</v>
      </c>
      <c r="D5" s="12">
        <v>-87.9</v>
      </c>
      <c r="E5" s="12">
        <v>-83</v>
      </c>
      <c r="F5" s="12">
        <v>-133.9</v>
      </c>
      <c r="G5" s="12">
        <f>SUM(C5:F5)</f>
        <v>-421.9</v>
      </c>
      <c r="H5" s="15">
        <f>-97.6-0.2-0.2</f>
        <v>-98</v>
      </c>
      <c r="I5" s="15">
        <f>-45.3+0.5-0.8</f>
        <v>-45.599999999999994</v>
      </c>
      <c r="J5" s="15">
        <f>-70.5+0.5-0.9</f>
        <v>-70.900000000000006</v>
      </c>
      <c r="K5" s="15">
        <f>-77.3-0.4+0.2-1.1</f>
        <v>-78.599999999999994</v>
      </c>
      <c r="L5" s="15">
        <f>-290.7+0.6-3</f>
        <v>-293.09999999999997</v>
      </c>
      <c r="M5" s="16">
        <f>-84.5+0.3-1.7</f>
        <v>-85.9</v>
      </c>
      <c r="N5" s="16">
        <f>-95.1-0.2-2.5</f>
        <v>-97.8</v>
      </c>
      <c r="O5" s="16">
        <f t="shared" ref="O5" si="1">-96+2-5.1</f>
        <v>-99.1</v>
      </c>
      <c r="P5" s="12">
        <f>-107+15.9-21.7</f>
        <v>-112.8</v>
      </c>
      <c r="Q5" s="12">
        <f>-394.9-0.7</f>
        <v>-395.59999999999997</v>
      </c>
      <c r="R5" s="12">
        <f>-110.1+29.4-18.1+4.8</f>
        <v>-93.999999999999986</v>
      </c>
      <c r="S5" s="12">
        <f>-94.8+13.5-21.4+6.9</f>
        <v>-95.799999999999983</v>
      </c>
      <c r="T5" s="12">
        <f>-105.2+14.5-20+5.9</f>
        <v>-104.8</v>
      </c>
      <c r="U5" s="12">
        <f>-133.7+35.2-17.3+5.9</f>
        <v>-109.89999999999998</v>
      </c>
      <c r="V5" s="12">
        <f>SUM(R5:U5)</f>
        <v>-404.49999999999994</v>
      </c>
      <c r="W5" s="12">
        <v>-127.8</v>
      </c>
      <c r="X5" s="12">
        <v>-94.8</v>
      </c>
      <c r="Y5" s="12">
        <v>-97</v>
      </c>
      <c r="Z5" s="12">
        <v>-130.6</v>
      </c>
      <c r="AA5" s="12">
        <f>SUM(W5:Z5)</f>
        <v>-450.20000000000005</v>
      </c>
      <c r="AB5" s="12">
        <v>-108.1</v>
      </c>
      <c r="AC5" s="12">
        <v>-116.7</v>
      </c>
      <c r="AD5" s="12">
        <v>-102.5</v>
      </c>
      <c r="AE5" s="12">
        <f>-106.9+6.2</f>
        <v>-100.7</v>
      </c>
      <c r="AF5" s="12">
        <f>+AE5+AD5+AC5+AB5</f>
        <v>-428</v>
      </c>
      <c r="AG5" s="12">
        <v>-108.80000000000001</v>
      </c>
      <c r="AH5" s="12">
        <v>-117.2</v>
      </c>
      <c r="AI5" s="12">
        <v>-96.1</v>
      </c>
      <c r="AJ5" s="12">
        <v>-106.3</v>
      </c>
      <c r="AK5" s="12">
        <f>SUM(AG5:AJ5)</f>
        <v>-428.40000000000003</v>
      </c>
      <c r="AL5" s="12">
        <v>-87.3</v>
      </c>
      <c r="AM5" s="12">
        <v>-105.2</v>
      </c>
      <c r="AN5" s="12">
        <v>-81.900000000000006</v>
      </c>
      <c r="AO5" s="12">
        <v>-79.3</v>
      </c>
      <c r="AP5" s="12">
        <f>SUM(AL5:AO5)</f>
        <v>-353.7</v>
      </c>
      <c r="AQ5" s="12">
        <v>-83.1</v>
      </c>
      <c r="AR5" s="12">
        <v>-74.5</v>
      </c>
      <c r="AS5" s="12">
        <v>-67.7</v>
      </c>
      <c r="AT5" s="12">
        <v>-63.4</v>
      </c>
      <c r="AU5" s="12">
        <f>SUM(AQ5:AT5)</f>
        <v>-288.7</v>
      </c>
      <c r="AV5" s="12">
        <v>-62.1</v>
      </c>
      <c r="AW5" s="13">
        <v>-70.7</v>
      </c>
    </row>
    <row r="6" spans="1:49" s="2" customFormat="1" ht="13.5" customHeight="1" x14ac:dyDescent="0.2">
      <c r="A6" s="17" t="s">
        <v>38</v>
      </c>
      <c r="B6" s="18">
        <f t="shared" ref="B6:C6" si="2">SUM(B4:B5)</f>
        <v>537.4</v>
      </c>
      <c r="C6" s="18">
        <f t="shared" si="2"/>
        <v>97.300000000000011</v>
      </c>
      <c r="D6" s="18">
        <f t="shared" ref="D6:E6" si="3">SUM(D4:D5)</f>
        <v>84.6</v>
      </c>
      <c r="E6" s="18">
        <f t="shared" si="3"/>
        <v>76.599999999999994</v>
      </c>
      <c r="F6" s="18">
        <f t="shared" ref="F6:G6" si="4">SUM(F4:F5)</f>
        <v>164.29999999999998</v>
      </c>
      <c r="G6" s="18">
        <f t="shared" si="4"/>
        <v>422.80000000000007</v>
      </c>
      <c r="H6" s="18">
        <f t="shared" ref="H6:O6" si="5">SUM(H4:H5)</f>
        <v>61.799999999999983</v>
      </c>
      <c r="I6" s="18">
        <f t="shared" si="5"/>
        <v>118.60000000000002</v>
      </c>
      <c r="J6" s="18">
        <f t="shared" si="5"/>
        <v>82.699999999999989</v>
      </c>
      <c r="K6" s="18">
        <f t="shared" si="5"/>
        <v>72.800000000000011</v>
      </c>
      <c r="L6" s="18">
        <f t="shared" si="5"/>
        <v>335.90000000000003</v>
      </c>
      <c r="M6" s="18">
        <f t="shared" si="5"/>
        <v>108.29999999999998</v>
      </c>
      <c r="N6" s="18">
        <f t="shared" si="5"/>
        <v>104.89999999999999</v>
      </c>
      <c r="O6" s="18">
        <f t="shared" si="5"/>
        <v>119.60000000000002</v>
      </c>
      <c r="P6" s="18">
        <f t="shared" ref="P6:W6" si="6">SUM(P4:P5)</f>
        <v>133.80000000000001</v>
      </c>
      <c r="Q6" s="18">
        <f t="shared" si="6"/>
        <v>466.60000000000008</v>
      </c>
      <c r="R6" s="18">
        <f t="shared" si="6"/>
        <v>136.5</v>
      </c>
      <c r="S6" s="18">
        <f t="shared" si="6"/>
        <v>155.40000000000003</v>
      </c>
      <c r="T6" s="18">
        <f t="shared" si="6"/>
        <v>132.89999999999998</v>
      </c>
      <c r="U6" s="18">
        <f t="shared" si="6"/>
        <v>118.10000000000002</v>
      </c>
      <c r="V6" s="18">
        <f t="shared" si="6"/>
        <v>542.90000000000009</v>
      </c>
      <c r="W6" s="18">
        <f t="shared" si="6"/>
        <v>129.89999999999998</v>
      </c>
      <c r="X6" s="18">
        <f t="shared" ref="X6:Y6" si="7">SUM(X4:X5)</f>
        <v>116.2</v>
      </c>
      <c r="Y6" s="18">
        <f t="shared" si="7"/>
        <v>98.1</v>
      </c>
      <c r="Z6" s="18">
        <f t="shared" ref="Z6:AA6" si="8">SUM(Z4:Z5)</f>
        <v>91.9</v>
      </c>
      <c r="AA6" s="18">
        <f t="shared" si="8"/>
        <v>436.09999999999991</v>
      </c>
      <c r="AB6" s="18">
        <f t="shared" ref="AB6:AC6" si="9">SUM(AB4:AB5)</f>
        <v>110.80000000000001</v>
      </c>
      <c r="AC6" s="18">
        <f t="shared" si="9"/>
        <v>91.100000000000009</v>
      </c>
      <c r="AD6" s="18">
        <f t="shared" ref="AD6:AE6" si="10">SUM(AD4:AD5)</f>
        <v>97.1</v>
      </c>
      <c r="AE6" s="18">
        <f t="shared" si="10"/>
        <v>102.3</v>
      </c>
      <c r="AF6" s="18">
        <f>+AE6+AD6+AC6+AB6</f>
        <v>401.3</v>
      </c>
      <c r="AG6" s="18">
        <f t="shared" ref="AG6:AH6" si="11">SUM(AG4:AG5)</f>
        <v>84.799999999999983</v>
      </c>
      <c r="AH6" s="18">
        <f t="shared" si="11"/>
        <v>75.600000000000009</v>
      </c>
      <c r="AI6" s="18">
        <f t="shared" ref="AI6:AJ6" si="12">SUM(AI4:AI5)</f>
        <v>80.400000000000006</v>
      </c>
      <c r="AJ6" s="138">
        <f t="shared" si="12"/>
        <v>104.89999999999999</v>
      </c>
      <c r="AK6" s="138">
        <f t="shared" ref="AK6:AP6" si="13">SUM(AK4:AK5)</f>
        <v>345.69999999999987</v>
      </c>
      <c r="AL6" s="138">
        <f t="shared" si="13"/>
        <v>79.000000000000014</v>
      </c>
      <c r="AM6" s="138">
        <f t="shared" si="13"/>
        <v>60.899999999999991</v>
      </c>
      <c r="AN6" s="138">
        <f t="shared" si="13"/>
        <v>74.5</v>
      </c>
      <c r="AO6" s="138">
        <f t="shared" si="13"/>
        <v>91.100000000000009</v>
      </c>
      <c r="AP6" s="138">
        <f t="shared" si="13"/>
        <v>305.49999999999994</v>
      </c>
      <c r="AQ6" s="138">
        <f>SUM(AQ4:AQ5)</f>
        <v>85.5</v>
      </c>
      <c r="AR6" s="138">
        <f t="shared" ref="AR6" si="14">SUM(AR4:AR5)</f>
        <v>77.400000000000006</v>
      </c>
      <c r="AS6" s="138">
        <f>SUM(AS4:AS5)</f>
        <v>83.2</v>
      </c>
      <c r="AT6" s="138">
        <f>SUM(AT4:AT5)</f>
        <v>71.900000000000006</v>
      </c>
      <c r="AU6" s="138">
        <f>SUM(AU4:AU5)</f>
        <v>318.00000000000006</v>
      </c>
      <c r="AV6" s="138">
        <f>SUM(AV4:AV5)</f>
        <v>91.300000000000011</v>
      </c>
      <c r="AW6" s="139">
        <f>SUM(AW4:AW5)</f>
        <v>57.099999999999994</v>
      </c>
    </row>
    <row r="7" spans="1:49" ht="13.5" customHeight="1" x14ac:dyDescent="0.2">
      <c r="A7" s="20"/>
      <c r="B7" s="22"/>
      <c r="C7" s="22" t="s">
        <v>39</v>
      </c>
      <c r="D7" s="22" t="s">
        <v>39</v>
      </c>
      <c r="E7" s="22" t="s">
        <v>39</v>
      </c>
      <c r="F7" s="22" t="s">
        <v>39</v>
      </c>
      <c r="G7" s="22" t="s">
        <v>39</v>
      </c>
      <c r="H7" s="22" t="s">
        <v>39</v>
      </c>
      <c r="I7" s="22" t="s">
        <v>39</v>
      </c>
      <c r="J7" s="22" t="s">
        <v>39</v>
      </c>
      <c r="K7" s="22" t="s">
        <v>39</v>
      </c>
      <c r="L7" s="22" t="s">
        <v>39</v>
      </c>
      <c r="M7" s="22" t="s">
        <v>39</v>
      </c>
      <c r="N7" s="22" t="s">
        <v>39</v>
      </c>
      <c r="O7" s="22" t="s">
        <v>39</v>
      </c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3"/>
    </row>
    <row r="8" spans="1:49" ht="13.5" customHeight="1" x14ac:dyDescent="0.2">
      <c r="A8" s="14" t="s">
        <v>40</v>
      </c>
      <c r="B8" s="25">
        <v>-260</v>
      </c>
      <c r="C8" s="25">
        <v>-59.7</v>
      </c>
      <c r="D8" s="25">
        <v>-53.7</v>
      </c>
      <c r="E8" s="25">
        <v>-55.3</v>
      </c>
      <c r="F8" s="25">
        <v>-55.9</v>
      </c>
      <c r="G8" s="12">
        <f t="shared" ref="G8:G11" si="15">SUM(C8:F8)</f>
        <v>-224.6</v>
      </c>
      <c r="H8" s="25">
        <v>-56.6</v>
      </c>
      <c r="I8" s="25">
        <v>-57.1</v>
      </c>
      <c r="J8" s="25">
        <v>-54.6</v>
      </c>
      <c r="K8" s="25">
        <v>-57.6</v>
      </c>
      <c r="L8" s="25">
        <v>-225.9</v>
      </c>
      <c r="M8" s="25">
        <v>-76.5</v>
      </c>
      <c r="N8" s="25">
        <v>-82.7</v>
      </c>
      <c r="O8" s="25">
        <f t="shared" ref="O8" si="16">-86.2+1.8+0.6</f>
        <v>-83.800000000000011</v>
      </c>
      <c r="P8" s="12">
        <f>-91.1+6.1+1.4</f>
        <v>-83.6</v>
      </c>
      <c r="Q8" s="12">
        <v>-326.60000000000002</v>
      </c>
      <c r="R8" s="12">
        <f>-101.8-1.6+19.2-1.4</f>
        <v>-85.6</v>
      </c>
      <c r="S8" s="12">
        <f>-100.6+20.3-6.5</f>
        <v>-86.8</v>
      </c>
      <c r="T8" s="12">
        <f>-96.1+13.8-4.3</f>
        <v>-86.6</v>
      </c>
      <c r="U8" s="12">
        <f>-110.4+21.4-6-0.2</f>
        <v>-95.2</v>
      </c>
      <c r="V8" s="12">
        <f>SUM(R8:U8)</f>
        <v>-354.2</v>
      </c>
      <c r="W8" s="12">
        <v>-95</v>
      </c>
      <c r="X8" s="12">
        <v>-62.9</v>
      </c>
      <c r="Y8" s="12">
        <v>-62.7</v>
      </c>
      <c r="Z8" s="12">
        <v>-61.9</v>
      </c>
      <c r="AA8" s="12">
        <f t="shared" ref="AA8:AA11" si="17">SUM(W8:Z8)</f>
        <v>-282.5</v>
      </c>
      <c r="AB8" s="12">
        <v>-64.8</v>
      </c>
      <c r="AC8" s="12">
        <v>-66.2</v>
      </c>
      <c r="AD8" s="12">
        <v>-67.2</v>
      </c>
      <c r="AE8" s="12">
        <v>-66.5</v>
      </c>
      <c r="AF8" s="12">
        <f>+AE8+AD8+AC8+AB8</f>
        <v>-264.7</v>
      </c>
      <c r="AG8" s="12">
        <v>-53.9</v>
      </c>
      <c r="AH8" s="12">
        <v>-49.7</v>
      </c>
      <c r="AI8" s="12">
        <v>-49.4</v>
      </c>
      <c r="AJ8" s="12">
        <v>-49.3</v>
      </c>
      <c r="AK8" s="12">
        <f>SUM(AG8:AJ8)</f>
        <v>-202.3</v>
      </c>
      <c r="AL8" s="12">
        <v>-46.9</v>
      </c>
      <c r="AM8" s="12">
        <f>-44.9-0.1</f>
        <v>-45</v>
      </c>
      <c r="AN8" s="12">
        <v>-44.7</v>
      </c>
      <c r="AO8" s="12">
        <v>-45.5</v>
      </c>
      <c r="AP8" s="12">
        <f>SUM(AL8:AO8)</f>
        <v>-182.10000000000002</v>
      </c>
      <c r="AQ8" s="12">
        <v>-44.3</v>
      </c>
      <c r="AR8" s="12">
        <v>-44.1</v>
      </c>
      <c r="AS8" s="12">
        <v>-44.2</v>
      </c>
      <c r="AT8" s="12">
        <v>-39.799999999999997</v>
      </c>
      <c r="AU8" s="12">
        <f>SUM(AQ8:AT8)</f>
        <v>-172.40000000000003</v>
      </c>
      <c r="AV8" s="12">
        <v>-31</v>
      </c>
      <c r="AW8" s="13">
        <v>-20.100000000000001</v>
      </c>
    </row>
    <row r="9" spans="1:49" ht="13.5" customHeight="1" x14ac:dyDescent="0.2">
      <c r="A9" s="14" t="s">
        <v>41</v>
      </c>
      <c r="B9" s="25">
        <v>-2.5</v>
      </c>
      <c r="C9" s="25">
        <v>-0.7</v>
      </c>
      <c r="D9" s="25">
        <v>-0.7</v>
      </c>
      <c r="E9" s="25">
        <v>-0.7</v>
      </c>
      <c r="F9" s="25">
        <v>-0.7</v>
      </c>
      <c r="G9" s="12">
        <f t="shared" si="15"/>
        <v>-2.8</v>
      </c>
      <c r="H9" s="25">
        <v>-0.7</v>
      </c>
      <c r="I9" s="25">
        <v>-0.7</v>
      </c>
      <c r="J9" s="25">
        <v>-0.6</v>
      </c>
      <c r="K9" s="25">
        <v>-0.7</v>
      </c>
      <c r="L9" s="25">
        <v>-2.7</v>
      </c>
      <c r="M9" s="25">
        <v>-0.5</v>
      </c>
      <c r="N9" s="25">
        <v>-0.5</v>
      </c>
      <c r="O9" s="25">
        <v>-0.5</v>
      </c>
      <c r="P9" s="12">
        <v>-0.6</v>
      </c>
      <c r="Q9" s="12">
        <v>-2.1</v>
      </c>
      <c r="R9" s="12">
        <v>-0.7</v>
      </c>
      <c r="S9" s="12">
        <v>-0.5</v>
      </c>
      <c r="T9" s="12">
        <v>-0.2</v>
      </c>
      <c r="U9" s="12">
        <v>-0.4</v>
      </c>
      <c r="V9" s="12">
        <f t="shared" ref="V9:V11" si="18">SUM(R9:U9)</f>
        <v>-1.7999999999999998</v>
      </c>
      <c r="W9" s="12">
        <v>-0.5</v>
      </c>
      <c r="X9" s="12">
        <v>-0.3</v>
      </c>
      <c r="Y9" s="12">
        <v>-0.3</v>
      </c>
      <c r="Z9" s="12">
        <v>-0.4</v>
      </c>
      <c r="AA9" s="12">
        <f t="shared" si="17"/>
        <v>-1.5</v>
      </c>
      <c r="AB9" s="12">
        <v>-0.4</v>
      </c>
      <c r="AC9" s="12">
        <v>-1.8</v>
      </c>
      <c r="AD9" s="12">
        <v>-1.6</v>
      </c>
      <c r="AE9" s="12">
        <v>-1.5</v>
      </c>
      <c r="AF9" s="12">
        <f>+AE9+AD9+AC9+AB9</f>
        <v>-5.3000000000000007</v>
      </c>
      <c r="AG9" s="12">
        <v>-1.4</v>
      </c>
      <c r="AH9" s="12">
        <v>-1.7</v>
      </c>
      <c r="AI9" s="12">
        <v>-1.4</v>
      </c>
      <c r="AJ9" s="12">
        <v>-2</v>
      </c>
      <c r="AK9" s="12">
        <f t="shared" ref="AK9:AK11" si="19">SUM(AG9:AJ9)</f>
        <v>-6.5</v>
      </c>
      <c r="AL9" s="12">
        <v>-1.3</v>
      </c>
      <c r="AM9" s="12">
        <v>-1.3</v>
      </c>
      <c r="AN9" s="12">
        <v>-1.2</v>
      </c>
      <c r="AO9" s="12">
        <v>-1.3</v>
      </c>
      <c r="AP9" s="12">
        <f>SUM(AL9:AO9)</f>
        <v>-5.0999999999999996</v>
      </c>
      <c r="AQ9" s="12">
        <v>-1.4</v>
      </c>
      <c r="AR9" s="12">
        <v>-1.4</v>
      </c>
      <c r="AS9" s="12">
        <v>-1.4</v>
      </c>
      <c r="AT9" s="12">
        <v>-1.3</v>
      </c>
      <c r="AU9" s="12">
        <f>SUM(AQ9:AT9)</f>
        <v>-5.4999999999999991</v>
      </c>
      <c r="AV9" s="12">
        <v>-1.4</v>
      </c>
      <c r="AW9" s="13">
        <v>-1.3</v>
      </c>
    </row>
    <row r="10" spans="1:49" ht="13.5" customHeight="1" x14ac:dyDescent="0.2">
      <c r="A10" s="14" t="s">
        <v>42</v>
      </c>
      <c r="B10" s="27">
        <v>-396.4</v>
      </c>
      <c r="C10" s="27">
        <v>-0.8</v>
      </c>
      <c r="D10" s="27">
        <v>-5.3</v>
      </c>
      <c r="E10" s="27">
        <v>-1.7</v>
      </c>
      <c r="F10" s="27">
        <v>-223.2</v>
      </c>
      <c r="G10" s="12">
        <f t="shared" si="15"/>
        <v>-231</v>
      </c>
      <c r="H10" s="27">
        <v>0</v>
      </c>
      <c r="I10" s="27">
        <v>-27.4</v>
      </c>
      <c r="J10" s="27">
        <v>0</v>
      </c>
      <c r="K10" s="27">
        <v>0</v>
      </c>
      <c r="L10" s="27">
        <v>-27.4</v>
      </c>
      <c r="M10" s="27">
        <v>0</v>
      </c>
      <c r="N10" s="27">
        <v>-0.1</v>
      </c>
      <c r="O10" s="27">
        <v>0</v>
      </c>
      <c r="P10" s="26">
        <v>0</v>
      </c>
      <c r="Q10" s="12">
        <v>-0.1</v>
      </c>
      <c r="R10" s="26">
        <v>0</v>
      </c>
      <c r="S10" s="26">
        <v>0</v>
      </c>
      <c r="T10" s="26">
        <v>0</v>
      </c>
      <c r="U10" s="26">
        <v>0</v>
      </c>
      <c r="V10" s="26">
        <f t="shared" si="18"/>
        <v>0</v>
      </c>
      <c r="W10" s="26">
        <f>-218.8-14.3</f>
        <v>-233.10000000000002</v>
      </c>
      <c r="X10" s="26">
        <v>0</v>
      </c>
      <c r="Y10" s="26">
        <v>0</v>
      </c>
      <c r="Z10" s="26">
        <v>-59.6</v>
      </c>
      <c r="AA10" s="12">
        <f t="shared" si="17"/>
        <v>-292.70000000000005</v>
      </c>
      <c r="AB10" s="12">
        <v>-4.2</v>
      </c>
      <c r="AC10" s="12">
        <v>0</v>
      </c>
      <c r="AD10" s="26">
        <v>0</v>
      </c>
      <c r="AE10" s="26">
        <v>-86.3</v>
      </c>
      <c r="AF10" s="26">
        <f>+AE10+AD10+AC10+AB10</f>
        <v>-90.5</v>
      </c>
      <c r="AG10" s="26">
        <v>0</v>
      </c>
      <c r="AH10" s="26">
        <v>0</v>
      </c>
      <c r="AI10" s="26">
        <v>0</v>
      </c>
      <c r="AJ10" s="26">
        <v>-15.8</v>
      </c>
      <c r="AK10" s="26">
        <f t="shared" si="19"/>
        <v>-15.8</v>
      </c>
      <c r="AL10" s="26">
        <v>0</v>
      </c>
      <c r="AM10" s="26">
        <v>-5.0999999999999996</v>
      </c>
      <c r="AN10" s="26">
        <v>0</v>
      </c>
      <c r="AO10" s="26">
        <v>0</v>
      </c>
      <c r="AP10" s="12">
        <f>SUM(AL10:AO10)</f>
        <v>-5.0999999999999996</v>
      </c>
      <c r="AQ10" s="12">
        <v>1.1000000000000001</v>
      </c>
      <c r="AR10" s="26">
        <v>0</v>
      </c>
      <c r="AS10" s="26">
        <v>0</v>
      </c>
      <c r="AT10" s="26">
        <v>0</v>
      </c>
      <c r="AU10" s="12">
        <f>SUM(AQ10:AT10)</f>
        <v>1.1000000000000001</v>
      </c>
      <c r="AV10" s="12">
        <v>0</v>
      </c>
      <c r="AW10" s="13">
        <v>-14.5</v>
      </c>
    </row>
    <row r="11" spans="1:49" ht="13.5" customHeight="1" x14ac:dyDescent="0.2">
      <c r="A11" s="14" t="s">
        <v>43</v>
      </c>
      <c r="B11" s="26">
        <v>1.4</v>
      </c>
      <c r="C11" s="26">
        <v>0</v>
      </c>
      <c r="D11" s="26">
        <v>0</v>
      </c>
      <c r="E11" s="26">
        <v>0</v>
      </c>
      <c r="F11" s="26">
        <v>0</v>
      </c>
      <c r="G11" s="26">
        <f t="shared" si="15"/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6">
        <v>7</v>
      </c>
      <c r="Q11" s="12">
        <v>7</v>
      </c>
      <c r="R11" s="26">
        <f>0.1-0.3</f>
        <v>-0.19999999999999998</v>
      </c>
      <c r="S11" s="26">
        <v>0</v>
      </c>
      <c r="T11" s="26">
        <v>-0.1</v>
      </c>
      <c r="U11" s="26">
        <v>0</v>
      </c>
      <c r="V11" s="12">
        <f t="shared" si="18"/>
        <v>-0.3</v>
      </c>
      <c r="W11" s="26">
        <v>0</v>
      </c>
      <c r="X11" s="26">
        <v>0</v>
      </c>
      <c r="Y11" s="26">
        <v>0</v>
      </c>
      <c r="Z11" s="26">
        <v>0</v>
      </c>
      <c r="AA11" s="26">
        <f t="shared" si="17"/>
        <v>0</v>
      </c>
      <c r="AB11" s="26">
        <v>0</v>
      </c>
      <c r="AC11" s="26">
        <v>0.1</v>
      </c>
      <c r="AD11" s="26">
        <v>0</v>
      </c>
      <c r="AE11" s="26">
        <v>1.1000000000000001</v>
      </c>
      <c r="AF11" s="26">
        <f>+AE11+AD11+AC11+AB11</f>
        <v>1.2000000000000002</v>
      </c>
      <c r="AG11" s="26">
        <f>-0.9+1.8</f>
        <v>0.9</v>
      </c>
      <c r="AH11" s="26">
        <v>1.6</v>
      </c>
      <c r="AI11" s="26">
        <v>0</v>
      </c>
      <c r="AJ11" s="26">
        <v>0</v>
      </c>
      <c r="AK11" s="12">
        <f t="shared" si="19"/>
        <v>2.5</v>
      </c>
      <c r="AL11" s="12">
        <v>6.4</v>
      </c>
      <c r="AM11" s="12">
        <f>8.7</f>
        <v>8.6999999999999993</v>
      </c>
      <c r="AN11" s="12">
        <v>9.6</v>
      </c>
      <c r="AO11" s="26">
        <v>0</v>
      </c>
      <c r="AP11" s="12">
        <f>SUM(AL11:AO11)</f>
        <v>24.7</v>
      </c>
      <c r="AQ11" s="26">
        <v>0</v>
      </c>
      <c r="AR11" s="26">
        <v>0</v>
      </c>
      <c r="AS11" s="26">
        <v>0</v>
      </c>
      <c r="AT11" s="26">
        <v>0</v>
      </c>
      <c r="AU11" s="12">
        <f>SUM(AQ11:AT11)</f>
        <v>0</v>
      </c>
      <c r="AV11" s="12">
        <v>14.8</v>
      </c>
      <c r="AW11" s="13">
        <v>0</v>
      </c>
    </row>
    <row r="12" spans="1:49" ht="13.5" customHeight="1" x14ac:dyDescent="0.2">
      <c r="A12" s="17" t="s">
        <v>44</v>
      </c>
      <c r="B12" s="18">
        <f t="shared" ref="B12:C12" si="20">SUM(B6:B11)</f>
        <v>-120.1</v>
      </c>
      <c r="C12" s="18">
        <f t="shared" si="20"/>
        <v>36.100000000000009</v>
      </c>
      <c r="D12" s="18">
        <f t="shared" ref="D12:E12" si="21">SUM(D6:D11)</f>
        <v>24.899999999999991</v>
      </c>
      <c r="E12" s="18">
        <f t="shared" si="21"/>
        <v>18.899999999999999</v>
      </c>
      <c r="F12" s="18">
        <f t="shared" ref="F12:G12" si="22">SUM(F6:F11)</f>
        <v>-115.50000000000001</v>
      </c>
      <c r="G12" s="18">
        <f t="shared" si="22"/>
        <v>-35.599999999999937</v>
      </c>
      <c r="H12" s="18">
        <f t="shared" ref="H12:O12" si="23">SUM(H6:H11)</f>
        <v>4.4999999999999813</v>
      </c>
      <c r="I12" s="18">
        <f t="shared" si="23"/>
        <v>33.40000000000002</v>
      </c>
      <c r="J12" s="18">
        <f t="shared" si="23"/>
        <v>27.499999999999986</v>
      </c>
      <c r="K12" s="18">
        <f t="shared" si="23"/>
        <v>14.500000000000011</v>
      </c>
      <c r="L12" s="18">
        <f t="shared" si="23"/>
        <v>79.900000000000034</v>
      </c>
      <c r="M12" s="18">
        <f t="shared" si="23"/>
        <v>31.299999999999983</v>
      </c>
      <c r="N12" s="18">
        <f t="shared" si="23"/>
        <v>21.599999999999987</v>
      </c>
      <c r="O12" s="18">
        <f t="shared" si="23"/>
        <v>35.300000000000011</v>
      </c>
      <c r="P12" s="18">
        <f t="shared" ref="P12:Q12" si="24">SUM(P6:P11)</f>
        <v>56.600000000000016</v>
      </c>
      <c r="Q12" s="18">
        <f t="shared" si="24"/>
        <v>144.80000000000007</v>
      </c>
      <c r="R12" s="18">
        <f t="shared" ref="R12:S12" si="25">SUM(R6:R11)</f>
        <v>50</v>
      </c>
      <c r="S12" s="18">
        <f t="shared" si="25"/>
        <v>68.100000000000037</v>
      </c>
      <c r="T12" s="18">
        <f t="shared" ref="T12:U12" si="26">SUM(T6:T11)</f>
        <v>45.999999999999979</v>
      </c>
      <c r="U12" s="18">
        <f t="shared" si="26"/>
        <v>22.500000000000021</v>
      </c>
      <c r="V12" s="18">
        <f t="shared" ref="V12:W12" si="27">SUM(V6:V11)</f>
        <v>186.60000000000008</v>
      </c>
      <c r="W12" s="18">
        <f t="shared" si="27"/>
        <v>-198.70000000000005</v>
      </c>
      <c r="X12" s="18">
        <f t="shared" ref="X12:Y12" si="28">SUM(X6:X11)</f>
        <v>53.000000000000007</v>
      </c>
      <c r="Y12" s="18">
        <f t="shared" si="28"/>
        <v>35.099999999999994</v>
      </c>
      <c r="Z12" s="18">
        <f t="shared" ref="Z12:AA12" si="29">SUM(Z6:Z11)</f>
        <v>-29.999999999999993</v>
      </c>
      <c r="AA12" s="18">
        <f t="shared" si="29"/>
        <v>-140.60000000000014</v>
      </c>
      <c r="AB12" s="18">
        <f t="shared" ref="AB12:AC12" si="30">SUM(AB6:AB11)</f>
        <v>41.400000000000013</v>
      </c>
      <c r="AC12" s="18">
        <f t="shared" si="30"/>
        <v>23.200000000000006</v>
      </c>
      <c r="AD12" s="18">
        <f t="shared" ref="AD12:AE12" si="31">SUM(AD6:AD11)</f>
        <v>28.29999999999999</v>
      </c>
      <c r="AE12" s="18">
        <f t="shared" si="31"/>
        <v>-50.9</v>
      </c>
      <c r="AF12" s="18">
        <f>+AE12+AD12+AC12+AB12</f>
        <v>42.000000000000014</v>
      </c>
      <c r="AG12" s="18">
        <f t="shared" ref="AG12:AH12" si="32">SUM(AG6:AG11)</f>
        <v>30.399999999999984</v>
      </c>
      <c r="AH12" s="18">
        <f t="shared" si="32"/>
        <v>25.800000000000008</v>
      </c>
      <c r="AI12" s="18">
        <f t="shared" ref="AI12:AK12" si="33">SUM(AI6:AI11)</f>
        <v>29.600000000000009</v>
      </c>
      <c r="AJ12" s="138">
        <f t="shared" si="33"/>
        <v>37.799999999999997</v>
      </c>
      <c r="AK12" s="138">
        <f t="shared" si="33"/>
        <v>123.59999999999987</v>
      </c>
      <c r="AL12" s="138">
        <f t="shared" ref="AL12:AQ12" si="34">SUM(AL6:AL11)</f>
        <v>37.200000000000017</v>
      </c>
      <c r="AM12" s="138">
        <f t="shared" si="34"/>
        <v>18.199999999999989</v>
      </c>
      <c r="AN12" s="138">
        <f t="shared" si="34"/>
        <v>38.199999999999996</v>
      </c>
      <c r="AO12" s="138">
        <f t="shared" si="34"/>
        <v>44.300000000000011</v>
      </c>
      <c r="AP12" s="138">
        <f t="shared" si="34"/>
        <v>137.89999999999992</v>
      </c>
      <c r="AQ12" s="138">
        <f t="shared" si="34"/>
        <v>40.900000000000006</v>
      </c>
      <c r="AR12" s="138">
        <f t="shared" ref="AR12" si="35">SUM(AR6:AR11)</f>
        <v>31.900000000000006</v>
      </c>
      <c r="AS12" s="138">
        <f t="shared" ref="AS12" si="36">SUM(AS6:AS11)</f>
        <v>37.6</v>
      </c>
      <c r="AT12" s="138">
        <f t="shared" ref="AT12:AV12" si="37">SUM(AT6:AT11)</f>
        <v>30.800000000000008</v>
      </c>
      <c r="AU12" s="138">
        <f t="shared" si="37"/>
        <v>141.20000000000002</v>
      </c>
      <c r="AV12" s="138">
        <f t="shared" si="37"/>
        <v>73.700000000000017</v>
      </c>
      <c r="AW12" s="139">
        <f t="shared" ref="AW12" si="38">SUM(AW6:AW11)</f>
        <v>21.199999999999996</v>
      </c>
    </row>
    <row r="13" spans="1:49" ht="13.5" customHeight="1" x14ac:dyDescent="0.2">
      <c r="A13" s="29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2"/>
    </row>
    <row r="14" spans="1:49" ht="13.5" customHeight="1" x14ac:dyDescent="0.2">
      <c r="A14" s="14" t="s">
        <v>45</v>
      </c>
      <c r="B14" s="25">
        <v>2.8</v>
      </c>
      <c r="C14" s="25">
        <v>0.5</v>
      </c>
      <c r="D14" s="25">
        <v>0.5</v>
      </c>
      <c r="E14" s="25">
        <v>0.4</v>
      </c>
      <c r="F14" s="25">
        <v>0.3</v>
      </c>
      <c r="G14" s="12">
        <f t="shared" ref="G14:G17" si="39">SUM(C14:F14)</f>
        <v>1.7</v>
      </c>
      <c r="H14" s="25">
        <v>0.2</v>
      </c>
      <c r="I14" s="25">
        <v>0.8</v>
      </c>
      <c r="J14" s="25">
        <v>0.3</v>
      </c>
      <c r="K14" s="25">
        <v>0.5</v>
      </c>
      <c r="L14" s="25">
        <v>1.8</v>
      </c>
      <c r="M14" s="25">
        <v>0.5</v>
      </c>
      <c r="N14" s="25">
        <v>0.6</v>
      </c>
      <c r="O14" s="25">
        <f t="shared" ref="O14" si="40">0.6-0.2</f>
        <v>0.39999999999999997</v>
      </c>
      <c r="P14" s="12">
        <v>0.7</v>
      </c>
      <c r="Q14" s="12">
        <v>2.2000000000000002</v>
      </c>
      <c r="R14" s="12">
        <v>0.8</v>
      </c>
      <c r="S14" s="12">
        <f>1.1-0.4</f>
        <v>0.70000000000000007</v>
      </c>
      <c r="T14" s="12">
        <f>1.2-0.4</f>
        <v>0.79999999999999993</v>
      </c>
      <c r="U14" s="12">
        <f>1.1-0.4</f>
        <v>0.70000000000000007</v>
      </c>
      <c r="V14" s="12">
        <f>SUM(R14:U14)</f>
        <v>3</v>
      </c>
      <c r="W14" s="12">
        <v>0.3</v>
      </c>
      <c r="X14" s="12">
        <v>0.2</v>
      </c>
      <c r="Y14" s="26">
        <v>0</v>
      </c>
      <c r="Z14" s="26">
        <v>0</v>
      </c>
      <c r="AA14" s="12">
        <f t="shared" ref="AA14:AA17" si="41">SUM(W14:Z14)</f>
        <v>0.5</v>
      </c>
      <c r="AB14" s="26">
        <v>0</v>
      </c>
      <c r="AC14" s="26">
        <v>0.1</v>
      </c>
      <c r="AD14" s="26">
        <v>0.1</v>
      </c>
      <c r="AE14" s="26">
        <v>0.1</v>
      </c>
      <c r="AF14" s="26">
        <f>+AE14+AD14+AC14+AB14</f>
        <v>0.30000000000000004</v>
      </c>
      <c r="AG14" s="26">
        <v>0.1</v>
      </c>
      <c r="AH14" s="26">
        <v>0.2</v>
      </c>
      <c r="AI14" s="26">
        <v>0.8</v>
      </c>
      <c r="AJ14" s="26">
        <v>0.8</v>
      </c>
      <c r="AK14" s="12">
        <f t="shared" ref="AK14:AK17" si="42">SUM(AG14:AJ14)</f>
        <v>1.9000000000000001</v>
      </c>
      <c r="AL14" s="12">
        <v>1.1000000000000001</v>
      </c>
      <c r="AM14" s="12">
        <v>2.9</v>
      </c>
      <c r="AN14" s="12">
        <v>1.8</v>
      </c>
      <c r="AO14" s="12">
        <v>3.3</v>
      </c>
      <c r="AP14" s="12">
        <v>9.1999999999999993</v>
      </c>
      <c r="AQ14" s="12">
        <v>2.9</v>
      </c>
      <c r="AR14" s="12">
        <v>5.7</v>
      </c>
      <c r="AS14" s="12">
        <v>4.4000000000000004</v>
      </c>
      <c r="AT14" s="12">
        <v>4.7</v>
      </c>
      <c r="AU14" s="12">
        <f>SUM(AQ14:AT14)</f>
        <v>17.7</v>
      </c>
      <c r="AV14" s="12">
        <v>6.4</v>
      </c>
      <c r="AW14" s="13">
        <v>5.0999999999999996</v>
      </c>
    </row>
    <row r="15" spans="1:49" ht="13.5" customHeight="1" x14ac:dyDescent="0.2">
      <c r="A15" s="14" t="s">
        <v>46</v>
      </c>
      <c r="B15" s="25">
        <v>-49.6</v>
      </c>
      <c r="C15" s="25">
        <v>-11.6</v>
      </c>
      <c r="D15" s="25">
        <v>-10.8</v>
      </c>
      <c r="E15" s="25">
        <v>-12</v>
      </c>
      <c r="F15" s="25">
        <v>-11.8</v>
      </c>
      <c r="G15" s="12">
        <f t="shared" si="39"/>
        <v>-46.2</v>
      </c>
      <c r="H15" s="25">
        <v>-11.2</v>
      </c>
      <c r="I15" s="25">
        <v>-11.1</v>
      </c>
      <c r="J15" s="25">
        <v>-8.5</v>
      </c>
      <c r="K15" s="25">
        <v>-8.8000000000000007</v>
      </c>
      <c r="L15" s="25">
        <v>-39.6</v>
      </c>
      <c r="M15" s="25">
        <v>-18.899999999999999</v>
      </c>
      <c r="N15" s="25">
        <v>-20.399999999999999</v>
      </c>
      <c r="O15" s="25">
        <v>-18.899999999999999</v>
      </c>
      <c r="P15" s="12">
        <v>-21.3</v>
      </c>
      <c r="Q15" s="12">
        <v>-79.5</v>
      </c>
      <c r="R15" s="12">
        <v>-21.9</v>
      </c>
      <c r="S15" s="12">
        <v>-22.2</v>
      </c>
      <c r="T15" s="12">
        <f>-20.8</f>
        <v>-20.8</v>
      </c>
      <c r="U15" s="12">
        <v>-21.2</v>
      </c>
      <c r="V15" s="12">
        <f t="shared" ref="V15:V17" si="43">SUM(R15:U15)</f>
        <v>-86.1</v>
      </c>
      <c r="W15" s="12">
        <f>-16.7-0.9</f>
        <v>-17.599999999999998</v>
      </c>
      <c r="X15" s="12">
        <v>-15.4</v>
      </c>
      <c r="Y15" s="12">
        <v>-13.2</v>
      </c>
      <c r="Z15" s="12">
        <v>-12.4</v>
      </c>
      <c r="AA15" s="12">
        <f t="shared" si="41"/>
        <v>-58.6</v>
      </c>
      <c r="AB15" s="12">
        <f>-12.5+0.1</f>
        <v>-12.4</v>
      </c>
      <c r="AC15" s="12">
        <v>-12.4</v>
      </c>
      <c r="AD15" s="12">
        <f>-11.4-0.6</f>
        <v>-12</v>
      </c>
      <c r="AE15" s="12">
        <v>-11.6</v>
      </c>
      <c r="AF15" s="12">
        <f>+AE15+AD15+AC15+AB15</f>
        <v>-48.4</v>
      </c>
      <c r="AG15" s="12">
        <v>-11</v>
      </c>
      <c r="AH15" s="12">
        <v>-11.1</v>
      </c>
      <c r="AI15" s="12">
        <v>-12.5</v>
      </c>
      <c r="AJ15" s="12">
        <v>-12.8</v>
      </c>
      <c r="AK15" s="12">
        <f t="shared" si="42"/>
        <v>-47.400000000000006</v>
      </c>
      <c r="AL15" s="12">
        <f>-8.9-4.6</f>
        <v>-13.5</v>
      </c>
      <c r="AM15" s="12">
        <v>-11.7</v>
      </c>
      <c r="AN15" s="12">
        <v>-11.9</v>
      </c>
      <c r="AO15" s="12">
        <v>-12.3</v>
      </c>
      <c r="AP15" s="12">
        <v>-49.5</v>
      </c>
      <c r="AQ15" s="12">
        <v>-11.6</v>
      </c>
      <c r="AR15" s="12">
        <v>-10.5</v>
      </c>
      <c r="AS15" s="12">
        <v>-8.6999999999999993</v>
      </c>
      <c r="AT15" s="12">
        <v>-7.7</v>
      </c>
      <c r="AU15" s="12">
        <f>SUM(AQ15:AT15)</f>
        <v>-38.5</v>
      </c>
      <c r="AV15" s="12">
        <v>-5.3</v>
      </c>
      <c r="AW15" s="13">
        <v>-5.0999999999999996</v>
      </c>
    </row>
    <row r="16" spans="1:49" ht="13.5" customHeight="1" x14ac:dyDescent="0.2">
      <c r="A16" s="14" t="s">
        <v>47</v>
      </c>
      <c r="B16" s="25">
        <v>-9.8000000000000007</v>
      </c>
      <c r="C16" s="25">
        <v>-3.9</v>
      </c>
      <c r="D16" s="25">
        <v>-6.1</v>
      </c>
      <c r="E16" s="25">
        <v>1.8</v>
      </c>
      <c r="F16" s="25">
        <v>-3.7</v>
      </c>
      <c r="G16" s="12">
        <f t="shared" si="39"/>
        <v>-11.899999999999999</v>
      </c>
      <c r="H16" s="25">
        <v>10</v>
      </c>
      <c r="I16" s="25">
        <v>5.5</v>
      </c>
      <c r="J16" s="25">
        <v>20.5</v>
      </c>
      <c r="K16" s="25">
        <v>-4.3</v>
      </c>
      <c r="L16" s="25">
        <v>31.7</v>
      </c>
      <c r="M16" s="25">
        <v>29.4</v>
      </c>
      <c r="N16" s="25">
        <v>-14</v>
      </c>
      <c r="O16" s="25">
        <v>4.9000000000000004</v>
      </c>
      <c r="P16" s="12">
        <v>-34</v>
      </c>
      <c r="Q16" s="12">
        <v>-13.7</v>
      </c>
      <c r="R16" s="12">
        <v>-6.7</v>
      </c>
      <c r="S16" s="12">
        <v>-9.8000000000000007</v>
      </c>
      <c r="T16" s="12">
        <v>-28.4</v>
      </c>
      <c r="U16" s="12">
        <v>94.7</v>
      </c>
      <c r="V16" s="12">
        <f t="shared" si="43"/>
        <v>49.800000000000004</v>
      </c>
      <c r="W16" s="12">
        <f>-43-43.7</f>
        <v>-86.7</v>
      </c>
      <c r="X16" s="12">
        <v>10.3</v>
      </c>
      <c r="Y16" s="12">
        <v>8.3000000000000007</v>
      </c>
      <c r="Z16" s="12">
        <v>23.2</v>
      </c>
      <c r="AA16" s="12">
        <f t="shared" si="41"/>
        <v>-44.900000000000006</v>
      </c>
      <c r="AB16" s="12">
        <v>22.1</v>
      </c>
      <c r="AC16" s="12">
        <v>-9</v>
      </c>
      <c r="AD16" s="12">
        <v>-3</v>
      </c>
      <c r="AE16" s="12">
        <v>5.9</v>
      </c>
      <c r="AF16" s="12">
        <f>+AE16+AD16+AC16+AB16</f>
        <v>16</v>
      </c>
      <c r="AG16" s="12">
        <v>26.1</v>
      </c>
      <c r="AH16" s="12">
        <v>-1.9</v>
      </c>
      <c r="AI16" s="12">
        <v>5.6999999999999993</v>
      </c>
      <c r="AJ16" s="12">
        <v>24.4</v>
      </c>
      <c r="AK16" s="12">
        <f t="shared" si="42"/>
        <v>54.3</v>
      </c>
      <c r="AL16" s="12">
        <f>-18.5+4.6</f>
        <v>-13.9</v>
      </c>
      <c r="AM16" s="12">
        <f>3.5-0.6</f>
        <v>2.9</v>
      </c>
      <c r="AN16" s="12">
        <v>10.4</v>
      </c>
      <c r="AO16" s="12">
        <v>11.5</v>
      </c>
      <c r="AP16" s="12">
        <f>SUM(AL16:AO16)</f>
        <v>10.9</v>
      </c>
      <c r="AQ16" s="12">
        <v>3.1</v>
      </c>
      <c r="AR16" s="12">
        <v>2.5</v>
      </c>
      <c r="AS16" s="12">
        <v>-8.1</v>
      </c>
      <c r="AT16" s="12">
        <v>2.6</v>
      </c>
      <c r="AU16" s="12">
        <f>SUM(AQ16:AT16)</f>
        <v>0.10000000000000009</v>
      </c>
      <c r="AV16" s="12">
        <v>6.5</v>
      </c>
      <c r="AW16" s="13">
        <v>6.3</v>
      </c>
    </row>
    <row r="17" spans="1:49" ht="13.5" customHeight="1" x14ac:dyDescent="0.2">
      <c r="A17" s="14" t="s">
        <v>48</v>
      </c>
      <c r="B17" s="25">
        <v>0.5</v>
      </c>
      <c r="C17" s="25">
        <v>-14.4</v>
      </c>
      <c r="D17" s="25">
        <v>-1.7</v>
      </c>
      <c r="E17" s="25">
        <v>-13.7</v>
      </c>
      <c r="F17" s="25">
        <v>21</v>
      </c>
      <c r="G17" s="12">
        <f t="shared" si="39"/>
        <v>-8.8000000000000007</v>
      </c>
      <c r="H17" s="25">
        <f>-9.7+0.1</f>
        <v>-9.6</v>
      </c>
      <c r="I17" s="25">
        <f>-13.8+0.2</f>
        <v>-13.600000000000001</v>
      </c>
      <c r="J17" s="25">
        <f>-17.7-0.1</f>
        <v>-17.8</v>
      </c>
      <c r="K17" s="25">
        <v>10.6</v>
      </c>
      <c r="L17" s="25">
        <f>-30.6+0.2</f>
        <v>-30.400000000000002</v>
      </c>
      <c r="M17" s="25">
        <f>-14.9-0.6</f>
        <v>-15.5</v>
      </c>
      <c r="N17" s="25">
        <f>11.7-0.6</f>
        <v>11.1</v>
      </c>
      <c r="O17" s="25">
        <f t="shared" ref="O17" si="44">-1.5-1.2</f>
        <v>-2.7</v>
      </c>
      <c r="P17" s="12">
        <f>14.8+0.1</f>
        <v>14.9</v>
      </c>
      <c r="Q17" s="12">
        <v>7.8</v>
      </c>
      <c r="R17" s="12">
        <f>-2+0.9+1.2-1.8</f>
        <v>-1.7000000000000002</v>
      </c>
      <c r="S17" s="12">
        <f>-8.9+3-2.6</f>
        <v>-8.5</v>
      </c>
      <c r="T17" s="12">
        <f>15.6+0.3-2.1</f>
        <v>13.8</v>
      </c>
      <c r="U17" s="12">
        <f>-85.9+1.9-2.3</f>
        <v>-86.3</v>
      </c>
      <c r="V17" s="12">
        <f t="shared" si="43"/>
        <v>-82.699999999999989</v>
      </c>
      <c r="W17" s="12">
        <f>-32.8+43.7+0.9</f>
        <v>11.800000000000006</v>
      </c>
      <c r="X17" s="12">
        <v>-9.5</v>
      </c>
      <c r="Y17" s="12">
        <v>-3.3</v>
      </c>
      <c r="Z17" s="12">
        <v>-11.7</v>
      </c>
      <c r="AA17" s="12">
        <f t="shared" si="41"/>
        <v>-12.699999999999992</v>
      </c>
      <c r="AB17" s="12">
        <f>-2.4-0.1</f>
        <v>-2.5</v>
      </c>
      <c r="AC17" s="12">
        <v>5.0999999999999996</v>
      </c>
      <c r="AD17" s="12">
        <v>0.9</v>
      </c>
      <c r="AE17" s="26">
        <v>0</v>
      </c>
      <c r="AF17" s="26">
        <f>+AE17+AD17+AC17+AB17</f>
        <v>3.5</v>
      </c>
      <c r="AG17" s="26">
        <v>-1</v>
      </c>
      <c r="AH17" s="26">
        <v>10.199999999999999</v>
      </c>
      <c r="AI17" s="26">
        <v>2.0999999999999996</v>
      </c>
      <c r="AJ17" s="26">
        <v>-3.9</v>
      </c>
      <c r="AK17" s="12">
        <f t="shared" si="42"/>
        <v>7.3999999999999986</v>
      </c>
      <c r="AL17" s="12">
        <v>10.3</v>
      </c>
      <c r="AM17" s="12">
        <v>1</v>
      </c>
      <c r="AN17" s="12">
        <v>-2.8</v>
      </c>
      <c r="AO17" s="12">
        <v>-21.9</v>
      </c>
      <c r="AP17" s="12">
        <f>SUM(AL17:AO17)</f>
        <v>-13.399999999999999</v>
      </c>
      <c r="AQ17" s="12">
        <v>6.4</v>
      </c>
      <c r="AR17" s="12">
        <v>-2.2000000000000002</v>
      </c>
      <c r="AS17" s="12">
        <v>-4</v>
      </c>
      <c r="AT17" s="12">
        <v>19.8</v>
      </c>
      <c r="AU17" s="12">
        <f>SUM(AQ17:AT17)</f>
        <v>20</v>
      </c>
      <c r="AV17" s="12">
        <v>2.8</v>
      </c>
      <c r="AW17" s="13">
        <v>-0.5</v>
      </c>
    </row>
    <row r="18" spans="1:49" ht="13.5" customHeight="1" x14ac:dyDescent="0.2">
      <c r="A18" s="17" t="s">
        <v>49</v>
      </c>
      <c r="B18" s="33">
        <f t="shared" ref="B18:C18" si="45">SUM(B14:B17)</f>
        <v>-56.100000000000009</v>
      </c>
      <c r="C18" s="33">
        <f t="shared" si="45"/>
        <v>-29.4</v>
      </c>
      <c r="D18" s="33">
        <f t="shared" ref="D18:E18" si="46">SUM(D14:D17)</f>
        <v>-18.099999999999998</v>
      </c>
      <c r="E18" s="33">
        <f t="shared" si="46"/>
        <v>-23.5</v>
      </c>
      <c r="F18" s="33">
        <f t="shared" ref="F18:G18" si="47">SUM(F14:F17)</f>
        <v>5.8000000000000007</v>
      </c>
      <c r="G18" s="33">
        <f t="shared" si="47"/>
        <v>-65.2</v>
      </c>
      <c r="H18" s="33">
        <f t="shared" ref="H18:O18" si="48">SUM(H14:H17)</f>
        <v>-10.6</v>
      </c>
      <c r="I18" s="33">
        <f t="shared" si="48"/>
        <v>-18.399999999999999</v>
      </c>
      <c r="J18" s="33">
        <f t="shared" si="48"/>
        <v>-5.5</v>
      </c>
      <c r="K18" s="33">
        <f t="shared" si="48"/>
        <v>-2.0000000000000018</v>
      </c>
      <c r="L18" s="33">
        <f t="shared" si="48"/>
        <v>-36.500000000000007</v>
      </c>
      <c r="M18" s="33">
        <f t="shared" si="48"/>
        <v>-4.5</v>
      </c>
      <c r="N18" s="33">
        <f t="shared" si="48"/>
        <v>-22.699999999999996</v>
      </c>
      <c r="O18" s="33">
        <f t="shared" si="48"/>
        <v>-16.3</v>
      </c>
      <c r="P18" s="33">
        <f t="shared" ref="P18" si="49">SUM(P14:P17)</f>
        <v>-39.700000000000003</v>
      </c>
      <c r="Q18" s="33">
        <f t="shared" ref="Q18:R18" si="50">SUM(Q14:Q17)</f>
        <v>-83.2</v>
      </c>
      <c r="R18" s="33">
        <f t="shared" si="50"/>
        <v>-29.499999999999996</v>
      </c>
      <c r="S18" s="33">
        <f t="shared" ref="S18:T18" si="51">SUM(S14:S17)</f>
        <v>-39.799999999999997</v>
      </c>
      <c r="T18" s="33">
        <f t="shared" si="51"/>
        <v>-34.599999999999994</v>
      </c>
      <c r="U18" s="33">
        <f t="shared" ref="U18:W18" si="52">SUM(U14:U17)</f>
        <v>-12.099999999999994</v>
      </c>
      <c r="V18" s="33">
        <f t="shared" si="52"/>
        <v>-115.99999999999997</v>
      </c>
      <c r="W18" s="33">
        <f t="shared" si="52"/>
        <v>-92.199999999999989</v>
      </c>
      <c r="X18" s="33">
        <f t="shared" ref="X18:Y18" si="53">SUM(X14:X17)</f>
        <v>-14.4</v>
      </c>
      <c r="Y18" s="33">
        <f t="shared" si="53"/>
        <v>-8.1999999999999993</v>
      </c>
      <c r="Z18" s="33">
        <f t="shared" ref="Z18:AA18" si="54">SUM(Z14:Z17)</f>
        <v>-0.90000000000000036</v>
      </c>
      <c r="AA18" s="33">
        <f t="shared" si="54"/>
        <v>-115.69999999999999</v>
      </c>
      <c r="AB18" s="33">
        <f t="shared" ref="AB18:AC18" si="55">SUM(AB14:AB17)</f>
        <v>7.2000000000000011</v>
      </c>
      <c r="AC18" s="33">
        <f t="shared" si="55"/>
        <v>-16.200000000000003</v>
      </c>
      <c r="AD18" s="33">
        <f t="shared" ref="AD18:AE18" si="56">SUM(AD14:AD17)</f>
        <v>-14</v>
      </c>
      <c r="AE18" s="33">
        <f t="shared" si="56"/>
        <v>-5.6</v>
      </c>
      <c r="AF18" s="33">
        <f>+AE18+AD18+AC18+AB18</f>
        <v>-28.6</v>
      </c>
      <c r="AG18" s="33">
        <f t="shared" ref="AG18:AH18" si="57">SUM(AG14:AG17)</f>
        <v>14.200000000000001</v>
      </c>
      <c r="AH18" s="33">
        <f t="shared" si="57"/>
        <v>-2.6000000000000014</v>
      </c>
      <c r="AI18" s="33">
        <f t="shared" ref="AI18:AK18" si="58">SUM(AI14:AI17)</f>
        <v>-3.9000000000000004</v>
      </c>
      <c r="AJ18" s="138">
        <f t="shared" si="58"/>
        <v>8.4999999999999982</v>
      </c>
      <c r="AK18" s="138">
        <f t="shared" si="58"/>
        <v>16.199999999999989</v>
      </c>
      <c r="AL18" s="138">
        <f t="shared" ref="AL18:AM18" si="59">SUM(AL14:AL17)</f>
        <v>-16</v>
      </c>
      <c r="AM18" s="138">
        <f t="shared" si="59"/>
        <v>-4.8999999999999986</v>
      </c>
      <c r="AN18" s="138">
        <f t="shared" ref="AN18:AO18" si="60">SUM(AN14:AN17)</f>
        <v>-2.4999999999999991</v>
      </c>
      <c r="AO18" s="138">
        <f t="shared" si="60"/>
        <v>-19.399999999999999</v>
      </c>
      <c r="AP18" s="138">
        <f t="shared" ref="AP18" si="61">SUM(AP14:AP17)</f>
        <v>-42.8</v>
      </c>
      <c r="AQ18" s="138">
        <v>0.8</v>
      </c>
      <c r="AR18" s="138">
        <f t="shared" ref="AR18" si="62">SUM(AR14:AR17)</f>
        <v>-4.5</v>
      </c>
      <c r="AS18" s="138">
        <f>SUM(AS14:AS17)</f>
        <v>-16.399999999999999</v>
      </c>
      <c r="AT18" s="138">
        <f>SUM(AT14:AT17)</f>
        <v>19.400000000000002</v>
      </c>
      <c r="AU18" s="138">
        <f>SUM(AU14:AU17)</f>
        <v>-0.69999999999999929</v>
      </c>
      <c r="AV18" s="138">
        <f>SUM(AV14:AV17)</f>
        <v>10.4</v>
      </c>
      <c r="AW18" s="139">
        <f>SUM(AW14:AW17)</f>
        <v>5.8</v>
      </c>
    </row>
    <row r="19" spans="1:49" ht="13.5" customHeight="1" x14ac:dyDescent="0.2">
      <c r="A19" s="29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2"/>
    </row>
    <row r="20" spans="1:49" ht="13.5" customHeight="1" x14ac:dyDescent="0.2">
      <c r="A20" s="14" t="s">
        <v>50</v>
      </c>
      <c r="B20" s="26">
        <v>0.4</v>
      </c>
      <c r="C20" s="26">
        <v>0.1</v>
      </c>
      <c r="D20" s="26">
        <v>0</v>
      </c>
      <c r="E20" s="16">
        <v>0.3</v>
      </c>
      <c r="F20" s="16">
        <v>0.2</v>
      </c>
      <c r="G20" s="12">
        <f>SUM(C20:F20)</f>
        <v>0.60000000000000009</v>
      </c>
      <c r="H20" s="26">
        <v>0</v>
      </c>
      <c r="I20" s="16">
        <v>0.5</v>
      </c>
      <c r="J20" s="16">
        <v>-0.1</v>
      </c>
      <c r="K20" s="16">
        <v>0.5</v>
      </c>
      <c r="L20" s="16">
        <v>0.9</v>
      </c>
      <c r="M20" s="16">
        <v>0.5</v>
      </c>
      <c r="N20" s="16">
        <v>0.3</v>
      </c>
      <c r="O20" s="16">
        <v>9.9999999999999978E-2</v>
      </c>
      <c r="P20" s="12">
        <v>0.5</v>
      </c>
      <c r="Q20" s="12">
        <v>1.4</v>
      </c>
      <c r="R20" s="12">
        <v>0.5</v>
      </c>
      <c r="S20" s="12">
        <v>0.4</v>
      </c>
      <c r="T20" s="12">
        <v>0.1</v>
      </c>
      <c r="U20" s="12">
        <v>-0.3</v>
      </c>
      <c r="V20" s="12">
        <f>SUM(R20:U20)</f>
        <v>0.7</v>
      </c>
      <c r="W20" s="12">
        <f>-2-4.1</f>
        <v>-6.1</v>
      </c>
      <c r="X20" s="12">
        <v>-2.1</v>
      </c>
      <c r="Y20" s="12">
        <v>-4.7</v>
      </c>
      <c r="Z20" s="12">
        <v>-2.8</v>
      </c>
      <c r="AA20" s="12">
        <f t="shared" ref="AA20" si="63">SUM(W20:Z20)</f>
        <v>-15.7</v>
      </c>
      <c r="AB20" s="12">
        <v>8.3000000000000007</v>
      </c>
      <c r="AC20" s="12">
        <v>5.3</v>
      </c>
      <c r="AD20" s="12">
        <v>-3.8</v>
      </c>
      <c r="AE20" s="12">
        <v>23.7</v>
      </c>
      <c r="AF20" s="12">
        <f>+AE20+AD20+AC20+AB20</f>
        <v>33.5</v>
      </c>
      <c r="AG20" s="12">
        <v>9.5</v>
      </c>
      <c r="AH20" s="12">
        <v>-4.8</v>
      </c>
      <c r="AI20" s="12">
        <v>7.2</v>
      </c>
      <c r="AJ20" s="12">
        <v>-2</v>
      </c>
      <c r="AK20" s="12">
        <f t="shared" ref="AK20" si="64">SUM(AG20:AJ20)</f>
        <v>9.9</v>
      </c>
      <c r="AL20" s="12">
        <v>-0.3</v>
      </c>
      <c r="AM20" s="12">
        <v>0.6</v>
      </c>
      <c r="AN20" s="12">
        <v>0.4</v>
      </c>
      <c r="AO20" s="12">
        <v>17.5</v>
      </c>
      <c r="AP20" s="12">
        <f>SUM(AL20:AO20)</f>
        <v>18.2</v>
      </c>
      <c r="AQ20" s="12">
        <v>-2.2000000000000002</v>
      </c>
      <c r="AR20" s="12">
        <v>4.0999999999999996</v>
      </c>
      <c r="AS20" s="12">
        <v>-5.7</v>
      </c>
      <c r="AT20" s="12">
        <v>-9.5</v>
      </c>
      <c r="AU20" s="12">
        <f>SUM(AQ20:AT20)</f>
        <v>-13.3</v>
      </c>
      <c r="AV20" s="12">
        <v>-4.5999999999999996</v>
      </c>
      <c r="AW20" s="13">
        <v>-1.9</v>
      </c>
    </row>
    <row r="21" spans="1:49" ht="13.5" customHeight="1" x14ac:dyDescent="0.2">
      <c r="A21" s="17" t="s">
        <v>51</v>
      </c>
      <c r="B21" s="33">
        <f t="shared" ref="B21:C21" si="65">+B12+B18+B20</f>
        <v>-175.79999999999998</v>
      </c>
      <c r="C21" s="33">
        <f t="shared" si="65"/>
        <v>6.8000000000000096</v>
      </c>
      <c r="D21" s="33">
        <f t="shared" ref="D21:E21" si="66">+D12+D18+D20</f>
        <v>6.7999999999999936</v>
      </c>
      <c r="E21" s="33">
        <f t="shared" si="66"/>
        <v>-4.3000000000000016</v>
      </c>
      <c r="F21" s="33">
        <f t="shared" ref="F21:G21" si="67">+F12+F18+F20</f>
        <v>-109.50000000000001</v>
      </c>
      <c r="G21" s="33">
        <f t="shared" si="67"/>
        <v>-100.19999999999995</v>
      </c>
      <c r="H21" s="33">
        <f t="shared" ref="H21:O21" si="68">+H12+H18+H20</f>
        <v>-6.1000000000000183</v>
      </c>
      <c r="I21" s="33">
        <f t="shared" si="68"/>
        <v>15.500000000000021</v>
      </c>
      <c r="J21" s="33">
        <f t="shared" si="68"/>
        <v>21.899999999999984</v>
      </c>
      <c r="K21" s="33">
        <f t="shared" si="68"/>
        <v>13.000000000000009</v>
      </c>
      <c r="L21" s="33">
        <f t="shared" si="68"/>
        <v>44.300000000000026</v>
      </c>
      <c r="M21" s="33">
        <f t="shared" si="68"/>
        <v>27.299999999999983</v>
      </c>
      <c r="N21" s="33">
        <f t="shared" si="68"/>
        <v>-0.80000000000000848</v>
      </c>
      <c r="O21" s="33">
        <f t="shared" si="68"/>
        <v>19.100000000000012</v>
      </c>
      <c r="P21" s="33">
        <f t="shared" ref="P21:W21" si="69">+P12+P18+P20</f>
        <v>17.400000000000013</v>
      </c>
      <c r="Q21" s="33">
        <f t="shared" si="69"/>
        <v>63.000000000000064</v>
      </c>
      <c r="R21" s="33">
        <f t="shared" si="69"/>
        <v>21.000000000000004</v>
      </c>
      <c r="S21" s="33">
        <f t="shared" si="69"/>
        <v>28.700000000000038</v>
      </c>
      <c r="T21" s="33">
        <f t="shared" si="69"/>
        <v>11.499999999999984</v>
      </c>
      <c r="U21" s="33">
        <f t="shared" si="69"/>
        <v>10.100000000000026</v>
      </c>
      <c r="V21" s="33">
        <f t="shared" si="69"/>
        <v>71.300000000000111</v>
      </c>
      <c r="W21" s="33">
        <f t="shared" si="69"/>
        <v>-297.00000000000006</v>
      </c>
      <c r="X21" s="33">
        <f t="shared" ref="X21:Y21" si="70">+X12+X18+X20</f>
        <v>36.500000000000007</v>
      </c>
      <c r="Y21" s="33">
        <f t="shared" si="70"/>
        <v>22.199999999999996</v>
      </c>
      <c r="Z21" s="33">
        <f t="shared" ref="Z21:AA21" si="71">+Z12+Z18+Z20</f>
        <v>-33.699999999999989</v>
      </c>
      <c r="AA21" s="33">
        <f t="shared" si="71"/>
        <v>-272.00000000000011</v>
      </c>
      <c r="AB21" s="33">
        <f t="shared" ref="AB21:AC21" si="72">+AB12+AB18+AB20</f>
        <v>56.90000000000002</v>
      </c>
      <c r="AC21" s="33">
        <f t="shared" si="72"/>
        <v>12.300000000000004</v>
      </c>
      <c r="AD21" s="33">
        <f t="shared" ref="AD21:AE21" si="73">+AD12+AD18+AD20</f>
        <v>10.499999999999989</v>
      </c>
      <c r="AE21" s="33">
        <f t="shared" si="73"/>
        <v>-32.799999999999997</v>
      </c>
      <c r="AF21" s="33">
        <f>+AE21+AD21+AC21+AB21</f>
        <v>46.90000000000002</v>
      </c>
      <c r="AG21" s="33">
        <f t="shared" ref="AG21:AH21" si="74">+AG12+AG18+AG20</f>
        <v>54.099999999999987</v>
      </c>
      <c r="AH21" s="33">
        <f t="shared" si="74"/>
        <v>18.400000000000006</v>
      </c>
      <c r="AI21" s="33">
        <f t="shared" ref="AI21:AK21" si="75">+AI12+AI18+AI20</f>
        <v>32.900000000000013</v>
      </c>
      <c r="AJ21" s="138">
        <f t="shared" si="75"/>
        <v>44.3</v>
      </c>
      <c r="AK21" s="138">
        <f t="shared" si="75"/>
        <v>149.69999999999985</v>
      </c>
      <c r="AL21" s="138">
        <f t="shared" ref="AL21:AM21" si="76">+AL12+AL18+AL20</f>
        <v>20.900000000000016</v>
      </c>
      <c r="AM21" s="138">
        <f t="shared" si="76"/>
        <v>13.89999999999999</v>
      </c>
      <c r="AN21" s="138">
        <f t="shared" ref="AN21:AO21" si="77">+AN12+AN18+AN20</f>
        <v>36.099999999999994</v>
      </c>
      <c r="AO21" s="138">
        <f t="shared" si="77"/>
        <v>42.400000000000013</v>
      </c>
      <c r="AP21" s="138">
        <f t="shared" ref="AP21" si="78">+AP12+AP18+AP20</f>
        <v>113.29999999999993</v>
      </c>
      <c r="AQ21" s="138">
        <f>AQ12+AQ18+AQ20</f>
        <v>39.5</v>
      </c>
      <c r="AR21" s="138">
        <f t="shared" ref="AR21" si="79">+AR12+AR18+AR20</f>
        <v>31.500000000000007</v>
      </c>
      <c r="AS21" s="138">
        <f>AS12+AS18+AS20</f>
        <v>15.500000000000004</v>
      </c>
      <c r="AT21" s="138">
        <f>AT12+AT18+AT20</f>
        <v>40.70000000000001</v>
      </c>
      <c r="AU21" s="138">
        <f>AU12+AU18+AU20</f>
        <v>127.20000000000003</v>
      </c>
      <c r="AV21" s="138">
        <f>AV12+AV18+AV20</f>
        <v>79.500000000000028</v>
      </c>
      <c r="AW21" s="139">
        <f>AW12+AW18+AW20</f>
        <v>25.099999999999998</v>
      </c>
    </row>
    <row r="22" spans="1:49" ht="13.5" customHeight="1" x14ac:dyDescent="0.2">
      <c r="A22" s="34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3"/>
    </row>
    <row r="23" spans="1:49" ht="13.5" customHeight="1" x14ac:dyDescent="0.2">
      <c r="A23" s="14" t="s">
        <v>52</v>
      </c>
      <c r="B23" s="25">
        <v>-40.5</v>
      </c>
      <c r="C23" s="25">
        <v>-9.6999999999999993</v>
      </c>
      <c r="D23" s="25">
        <v>-11.2</v>
      </c>
      <c r="E23" s="25">
        <v>-6.9</v>
      </c>
      <c r="F23" s="25">
        <v>-4.9000000000000004</v>
      </c>
      <c r="G23" s="12">
        <f>SUM(C23:F23)</f>
        <v>-32.699999999999996</v>
      </c>
      <c r="H23" s="25">
        <v>-9.1</v>
      </c>
      <c r="I23" s="25">
        <v>-9.6</v>
      </c>
      <c r="J23" s="25">
        <v>-17.600000000000001</v>
      </c>
      <c r="K23" s="25">
        <f>34+0.1</f>
        <v>34.1</v>
      </c>
      <c r="L23" s="25">
        <f>-2.3+0.1</f>
        <v>-2.1999999999999997</v>
      </c>
      <c r="M23" s="25">
        <f>-9.5+0.2</f>
        <v>-9.3000000000000007</v>
      </c>
      <c r="N23" s="25">
        <f>-7.5+0.1</f>
        <v>-7.4</v>
      </c>
      <c r="O23" s="25">
        <f t="shared" ref="O23" si="80">-9.2+2.1</f>
        <v>-7.1</v>
      </c>
      <c r="P23" s="12">
        <f>-14.1+9.2</f>
        <v>-4.9000000000000004</v>
      </c>
      <c r="Q23" s="12">
        <v>-28.7</v>
      </c>
      <c r="R23" s="12">
        <f>-16.4+8.6</f>
        <v>-7.7999999999999989</v>
      </c>
      <c r="S23" s="12">
        <f>-21.3+10.4</f>
        <v>-10.9</v>
      </c>
      <c r="T23" s="12">
        <f>-23.8+11.6</f>
        <v>-12.200000000000001</v>
      </c>
      <c r="U23" s="12">
        <f>-16.7+8.3</f>
        <v>-8.3999999999999986</v>
      </c>
      <c r="V23" s="12">
        <f>SUM(R23:U23)</f>
        <v>-39.299999999999997</v>
      </c>
      <c r="W23" s="12">
        <f>-10.9-3.4</f>
        <v>-14.3</v>
      </c>
      <c r="X23" s="12">
        <v>-6.8</v>
      </c>
      <c r="Y23" s="12">
        <v>-7.6</v>
      </c>
      <c r="Z23" s="12">
        <f>-10+0.7</f>
        <v>-9.3000000000000007</v>
      </c>
      <c r="AA23" s="12">
        <f t="shared" ref="AA23" si="81">SUM(W23:Z23)</f>
        <v>-38</v>
      </c>
      <c r="AB23" s="12">
        <v>40.299999999999997</v>
      </c>
      <c r="AC23" s="12">
        <v>-6.4</v>
      </c>
      <c r="AD23" s="12">
        <v>-5.3</v>
      </c>
      <c r="AE23" s="12">
        <f>-22.6+9.3</f>
        <v>-13.3</v>
      </c>
      <c r="AF23" s="12">
        <f>+AE23+AD23+AC23+AB23</f>
        <v>15.299999999999997</v>
      </c>
      <c r="AG23" s="12">
        <v>-7.8</v>
      </c>
      <c r="AH23" s="12">
        <v>-6.1</v>
      </c>
      <c r="AI23" s="12">
        <v>-3.299999999999998</v>
      </c>
      <c r="AJ23" s="12">
        <v>-3</v>
      </c>
      <c r="AK23" s="12">
        <f t="shared" ref="AK23" si="82">SUM(AG23:AJ23)</f>
        <v>-20.199999999999996</v>
      </c>
      <c r="AL23" s="12">
        <v>-3.1</v>
      </c>
      <c r="AM23" s="12">
        <v>-3</v>
      </c>
      <c r="AN23" s="12">
        <v>-7.2</v>
      </c>
      <c r="AO23" s="12">
        <v>-2.4</v>
      </c>
      <c r="AP23" s="12">
        <f>SUM(AL23:AO23)</f>
        <v>-15.700000000000001</v>
      </c>
      <c r="AQ23" s="12">
        <v>-2.7</v>
      </c>
      <c r="AR23" s="12">
        <v>-2.2999999999999998</v>
      </c>
      <c r="AS23" s="12">
        <v>-2.5</v>
      </c>
      <c r="AT23" s="12">
        <v>0.1</v>
      </c>
      <c r="AU23" s="12">
        <f>SUM(AQ23:AT23)</f>
        <v>-7.4</v>
      </c>
      <c r="AV23" s="12">
        <v>-17.3</v>
      </c>
      <c r="AW23" s="13">
        <v>-0.5</v>
      </c>
    </row>
    <row r="24" spans="1:49" ht="13.5" customHeight="1" x14ac:dyDescent="0.2">
      <c r="A24" s="17" t="s">
        <v>53</v>
      </c>
      <c r="B24" s="18">
        <f t="shared" ref="B24:C24" si="83">+B21+B23</f>
        <v>-216.29999999999998</v>
      </c>
      <c r="C24" s="18">
        <f t="shared" si="83"/>
        <v>-2.8999999999999897</v>
      </c>
      <c r="D24" s="18">
        <f t="shared" ref="D24:E24" si="84">+D21+D23</f>
        <v>-4.4000000000000057</v>
      </c>
      <c r="E24" s="18">
        <f t="shared" si="84"/>
        <v>-11.200000000000003</v>
      </c>
      <c r="F24" s="18">
        <f t="shared" ref="F24:G24" si="85">+F21+F23</f>
        <v>-114.40000000000002</v>
      </c>
      <c r="G24" s="18">
        <f t="shared" si="85"/>
        <v>-132.89999999999995</v>
      </c>
      <c r="H24" s="18">
        <f t="shared" ref="H24:O24" si="86">+H21+H23</f>
        <v>-15.200000000000017</v>
      </c>
      <c r="I24" s="18">
        <f t="shared" si="86"/>
        <v>5.9000000000000217</v>
      </c>
      <c r="J24" s="18">
        <f t="shared" si="86"/>
        <v>4.2999999999999829</v>
      </c>
      <c r="K24" s="18">
        <f t="shared" si="86"/>
        <v>47.100000000000009</v>
      </c>
      <c r="L24" s="18">
        <f t="shared" si="86"/>
        <v>42.100000000000023</v>
      </c>
      <c r="M24" s="18">
        <f t="shared" si="86"/>
        <v>17.999999999999982</v>
      </c>
      <c r="N24" s="18">
        <f t="shared" si="86"/>
        <v>-8.2000000000000082</v>
      </c>
      <c r="O24" s="18">
        <f t="shared" si="86"/>
        <v>12.000000000000012</v>
      </c>
      <c r="P24" s="18">
        <f t="shared" ref="P24" si="87">+P21+P23</f>
        <v>12.500000000000012</v>
      </c>
      <c r="Q24" s="18">
        <f t="shared" ref="Q24:R24" si="88">+Q21+Q23</f>
        <v>34.300000000000068</v>
      </c>
      <c r="R24" s="18">
        <f t="shared" si="88"/>
        <v>13.200000000000005</v>
      </c>
      <c r="S24" s="18">
        <f t="shared" ref="S24:T24" si="89">+S21+S23</f>
        <v>17.80000000000004</v>
      </c>
      <c r="T24" s="18">
        <f t="shared" si="89"/>
        <v>-0.70000000000001705</v>
      </c>
      <c r="U24" s="18">
        <f t="shared" ref="U24:W24" si="90">+U21+U23</f>
        <v>1.7000000000000277</v>
      </c>
      <c r="V24" s="18">
        <f t="shared" si="90"/>
        <v>32.000000000000114</v>
      </c>
      <c r="W24" s="18">
        <f t="shared" si="90"/>
        <v>-311.30000000000007</v>
      </c>
      <c r="X24" s="18">
        <f t="shared" ref="X24:Y24" si="91">+X21+X23</f>
        <v>29.700000000000006</v>
      </c>
      <c r="Y24" s="18">
        <f t="shared" si="91"/>
        <v>14.599999999999996</v>
      </c>
      <c r="Z24" s="18">
        <f t="shared" ref="Z24:AA24" si="92">+Z21+Z23</f>
        <v>-42.999999999999986</v>
      </c>
      <c r="AA24" s="18">
        <f t="shared" si="92"/>
        <v>-310.00000000000011</v>
      </c>
      <c r="AB24" s="18">
        <f t="shared" ref="AB24:AC24" si="93">+AB21+AB23</f>
        <v>97.200000000000017</v>
      </c>
      <c r="AC24" s="18">
        <f t="shared" si="93"/>
        <v>5.9000000000000039</v>
      </c>
      <c r="AD24" s="18">
        <f t="shared" ref="AD24:AE24" si="94">+AD21+AD23</f>
        <v>5.1999999999999895</v>
      </c>
      <c r="AE24" s="18">
        <f t="shared" si="94"/>
        <v>-46.099999999999994</v>
      </c>
      <c r="AF24" s="18">
        <f>+AE24+AD24+AC24+AB24</f>
        <v>62.200000000000017</v>
      </c>
      <c r="AG24" s="18">
        <f t="shared" ref="AG24:AH24" si="95">+AG21+AG23</f>
        <v>46.29999999999999</v>
      </c>
      <c r="AH24" s="18">
        <f t="shared" si="95"/>
        <v>12.300000000000006</v>
      </c>
      <c r="AI24" s="18">
        <f t="shared" ref="AI24:AK24" si="96">+AI21+AI23</f>
        <v>29.600000000000016</v>
      </c>
      <c r="AJ24" s="138">
        <f t="shared" si="96"/>
        <v>41.3</v>
      </c>
      <c r="AK24" s="138">
        <f t="shared" si="96"/>
        <v>129.49999999999986</v>
      </c>
      <c r="AL24" s="138">
        <f t="shared" ref="AL24:AM24" si="97">+AL21+AL23</f>
        <v>17.800000000000015</v>
      </c>
      <c r="AM24" s="138">
        <f t="shared" si="97"/>
        <v>10.89999999999999</v>
      </c>
      <c r="AN24" s="138">
        <f t="shared" ref="AN24:AO24" si="98">+AN21+AN23</f>
        <v>28.899999999999995</v>
      </c>
      <c r="AO24" s="138">
        <f t="shared" si="98"/>
        <v>40.000000000000014</v>
      </c>
      <c r="AP24" s="138">
        <f t="shared" ref="AP24" si="99">+AP21+AP23</f>
        <v>97.599999999999923</v>
      </c>
      <c r="AQ24" s="138">
        <f>AQ21+AQ23</f>
        <v>36.799999999999997</v>
      </c>
      <c r="AR24" s="138">
        <f t="shared" ref="AR24" si="100">+AR21+AR23</f>
        <v>29.200000000000006</v>
      </c>
      <c r="AS24" s="138">
        <f>AS21+AS23</f>
        <v>13.000000000000004</v>
      </c>
      <c r="AT24" s="138">
        <f>AT21+AT23</f>
        <v>40.800000000000011</v>
      </c>
      <c r="AU24" s="138">
        <f>AU21+AU23</f>
        <v>119.80000000000003</v>
      </c>
      <c r="AV24" s="138">
        <f>AV21+AV23</f>
        <v>62.200000000000031</v>
      </c>
      <c r="AW24" s="139">
        <f>AW21+AW23</f>
        <v>24.599999999999998</v>
      </c>
    </row>
    <row r="25" spans="1:49" ht="13.5" customHeight="1" x14ac:dyDescent="0.2">
      <c r="A25" s="34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6"/>
    </row>
    <row r="26" spans="1:49" ht="13.5" customHeight="1" x14ac:dyDescent="0.2">
      <c r="A26" s="11" t="s">
        <v>54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6"/>
    </row>
    <row r="27" spans="1:49" ht="13.5" customHeight="1" x14ac:dyDescent="0.2">
      <c r="A27" s="14" t="s">
        <v>55</v>
      </c>
      <c r="B27" s="26">
        <v>0</v>
      </c>
      <c r="C27" s="26">
        <v>0</v>
      </c>
      <c r="D27" s="26">
        <v>0</v>
      </c>
      <c r="E27" s="26">
        <v>0</v>
      </c>
      <c r="F27" s="26">
        <v>0</v>
      </c>
      <c r="G27" s="26">
        <f>SUM(C27:F27)</f>
        <v>0</v>
      </c>
      <c r="H27" s="26">
        <v>0.1</v>
      </c>
      <c r="I27" s="26">
        <v>-0.7</v>
      </c>
      <c r="J27" s="26">
        <v>-0.4</v>
      </c>
      <c r="K27" s="26">
        <v>0.1</v>
      </c>
      <c r="L27" s="26">
        <v>-0.9</v>
      </c>
      <c r="M27" s="26">
        <v>0.1</v>
      </c>
      <c r="N27" s="26">
        <v>0.7</v>
      </c>
      <c r="O27" s="26">
        <f t="shared" ref="O27" si="101">8.7-2-1.8+0.2+1.2-2.1-0.6</f>
        <v>3.5999999999999992</v>
      </c>
      <c r="P27" s="26">
        <f>30.5-15.9-6.1-0.1-9.2-1.4</f>
        <v>-2.1999999999999988</v>
      </c>
      <c r="Q27" s="26">
        <v>2.2000000000000002</v>
      </c>
      <c r="R27" s="26">
        <f>84-29.4-19.2+0.3+0.3-2.4-8.6+1.8+1.4-4.8</f>
        <v>23.4</v>
      </c>
      <c r="S27" s="26">
        <f>56.2-13.5-20.3+0.4-3-10.4-6.9+6.5+2.6</f>
        <v>11.6</v>
      </c>
      <c r="T27" s="26">
        <f>49.5-14.5-13.8+0.4-0.3-11.6-5.9+4.3+2.1</f>
        <v>10.199999999999998</v>
      </c>
      <c r="U27" s="26">
        <f>92.7-35.2-21.3+0.4-1.9-8.3-5.9+6+2.3+0.2-0.1</f>
        <v>28.9</v>
      </c>
      <c r="V27" s="26">
        <f>SUM(R27:U27)</f>
        <v>74.099999999999994</v>
      </c>
      <c r="W27" s="12">
        <f>40.1-2.4</f>
        <v>37.700000000000003</v>
      </c>
      <c r="X27" s="26">
        <v>0</v>
      </c>
      <c r="Y27" s="26">
        <v>0</v>
      </c>
      <c r="Z27" s="26">
        <v>0</v>
      </c>
      <c r="AA27" s="12">
        <f t="shared" ref="AA27" si="102">SUM(W27:Z27)</f>
        <v>37.700000000000003</v>
      </c>
      <c r="AB27" s="26">
        <v>0</v>
      </c>
      <c r="AC27" s="26">
        <v>0</v>
      </c>
      <c r="AD27" s="26">
        <v>0</v>
      </c>
      <c r="AE27" s="26">
        <v>0</v>
      </c>
      <c r="AF27" s="26">
        <f>+AE27+AD27+AC27+AB27</f>
        <v>0</v>
      </c>
      <c r="AG27" s="26">
        <v>0</v>
      </c>
      <c r="AH27" s="26">
        <v>0</v>
      </c>
      <c r="AI27" s="26">
        <v>0</v>
      </c>
      <c r="AJ27" s="26">
        <v>0</v>
      </c>
      <c r="AK27" s="26">
        <f t="shared" ref="AK27" si="103">SUM(AG27:AJ27)</f>
        <v>0</v>
      </c>
      <c r="AL27" s="26">
        <v>0</v>
      </c>
      <c r="AM27" s="26">
        <v>0</v>
      </c>
      <c r="AN27" s="26">
        <v>0</v>
      </c>
      <c r="AO27" s="26">
        <v>0</v>
      </c>
      <c r="AP27" s="26">
        <v>0</v>
      </c>
      <c r="AQ27" s="26">
        <v>0</v>
      </c>
      <c r="AR27" s="26">
        <v>0</v>
      </c>
      <c r="AS27" s="26">
        <v>0</v>
      </c>
      <c r="AT27" s="26">
        <v>0</v>
      </c>
      <c r="AU27" s="26">
        <f>SUM(AQ27:AT27)</f>
        <v>0</v>
      </c>
      <c r="AV27" s="26">
        <v>0</v>
      </c>
      <c r="AW27" s="28">
        <v>0</v>
      </c>
    </row>
    <row r="28" spans="1:49" ht="13.5" customHeight="1" x14ac:dyDescent="0.2">
      <c r="A28" s="17" t="s">
        <v>56</v>
      </c>
      <c r="B28" s="18">
        <f t="shared" ref="B28:C28" si="104">+B24+B27</f>
        <v>-216.29999999999998</v>
      </c>
      <c r="C28" s="18">
        <f t="shared" si="104"/>
        <v>-2.8999999999999897</v>
      </c>
      <c r="D28" s="18">
        <f t="shared" ref="D28:E28" si="105">+D24+D27</f>
        <v>-4.4000000000000057</v>
      </c>
      <c r="E28" s="18">
        <f t="shared" si="105"/>
        <v>-11.200000000000003</v>
      </c>
      <c r="F28" s="18">
        <f t="shared" ref="F28:G28" si="106">+F24+F27</f>
        <v>-114.40000000000002</v>
      </c>
      <c r="G28" s="18">
        <f t="shared" si="106"/>
        <v>-132.89999999999995</v>
      </c>
      <c r="H28" s="18">
        <f t="shared" ref="H28:O28" si="107">+H24+H27</f>
        <v>-15.100000000000017</v>
      </c>
      <c r="I28" s="18">
        <f t="shared" si="107"/>
        <v>5.2000000000000215</v>
      </c>
      <c r="J28" s="18">
        <f t="shared" si="107"/>
        <v>3.899999999999983</v>
      </c>
      <c r="K28" s="18">
        <f t="shared" si="107"/>
        <v>47.20000000000001</v>
      </c>
      <c r="L28" s="18">
        <f t="shared" si="107"/>
        <v>41.200000000000024</v>
      </c>
      <c r="M28" s="18">
        <f t="shared" si="107"/>
        <v>18.099999999999984</v>
      </c>
      <c r="N28" s="18">
        <f t="shared" si="107"/>
        <v>-7.500000000000008</v>
      </c>
      <c r="O28" s="18">
        <f t="shared" si="107"/>
        <v>15.600000000000012</v>
      </c>
      <c r="P28" s="18">
        <f t="shared" ref="P28:W28" si="108">+P24+P27</f>
        <v>10.300000000000013</v>
      </c>
      <c r="Q28" s="18">
        <f t="shared" si="108"/>
        <v>36.500000000000071</v>
      </c>
      <c r="R28" s="18">
        <f t="shared" si="108"/>
        <v>36.6</v>
      </c>
      <c r="S28" s="18">
        <f t="shared" si="108"/>
        <v>29.400000000000041</v>
      </c>
      <c r="T28" s="18">
        <f t="shared" si="108"/>
        <v>9.4999999999999805</v>
      </c>
      <c r="U28" s="18">
        <f t="shared" si="108"/>
        <v>30.600000000000026</v>
      </c>
      <c r="V28" s="18">
        <f t="shared" si="108"/>
        <v>106.10000000000011</v>
      </c>
      <c r="W28" s="18">
        <f t="shared" si="108"/>
        <v>-273.60000000000008</v>
      </c>
      <c r="X28" s="18">
        <f t="shared" ref="X28:Y28" si="109">+X24+X27</f>
        <v>29.700000000000006</v>
      </c>
      <c r="Y28" s="18">
        <f t="shared" si="109"/>
        <v>14.599999999999996</v>
      </c>
      <c r="Z28" s="18">
        <f t="shared" ref="Z28:AA28" si="110">+Z24+Z27</f>
        <v>-42.999999999999986</v>
      </c>
      <c r="AA28" s="18">
        <f t="shared" si="110"/>
        <v>-272.30000000000013</v>
      </c>
      <c r="AB28" s="18">
        <f t="shared" ref="AB28:AC28" si="111">+AB24+AB27</f>
        <v>97.200000000000017</v>
      </c>
      <c r="AC28" s="18">
        <f t="shared" si="111"/>
        <v>5.9000000000000039</v>
      </c>
      <c r="AD28" s="18">
        <f t="shared" ref="AD28:AE28" si="112">+AD24+AD27</f>
        <v>5.1999999999999895</v>
      </c>
      <c r="AE28" s="18">
        <f t="shared" si="112"/>
        <v>-46.099999999999994</v>
      </c>
      <c r="AF28" s="18">
        <f>+AE28+AD28+AC28+AB28</f>
        <v>62.200000000000017</v>
      </c>
      <c r="AG28" s="18">
        <f t="shared" ref="AG28:AH28" si="113">+AG24+AG27</f>
        <v>46.29999999999999</v>
      </c>
      <c r="AH28" s="18">
        <f t="shared" si="113"/>
        <v>12.300000000000006</v>
      </c>
      <c r="AI28" s="18">
        <f t="shared" ref="AI28:AK28" si="114">+AI24+AI27</f>
        <v>29.600000000000016</v>
      </c>
      <c r="AJ28" s="18">
        <f t="shared" si="114"/>
        <v>41.3</v>
      </c>
      <c r="AK28" s="18">
        <f t="shared" si="114"/>
        <v>129.49999999999986</v>
      </c>
      <c r="AL28" s="18">
        <f t="shared" ref="AL28:AM28" si="115">+AL24+AL27</f>
        <v>17.800000000000015</v>
      </c>
      <c r="AM28" s="18">
        <f t="shared" si="115"/>
        <v>10.89999999999999</v>
      </c>
      <c r="AN28" s="18">
        <f t="shared" ref="AN28:AO28" si="116">+AN24+AN27</f>
        <v>28.899999999999995</v>
      </c>
      <c r="AO28" s="18">
        <f t="shared" si="116"/>
        <v>40.000000000000014</v>
      </c>
      <c r="AP28" s="18">
        <f t="shared" ref="AP28" si="117">+AP24+AP27</f>
        <v>97.599999999999923</v>
      </c>
      <c r="AQ28" s="18">
        <f>+AQ24+AQ27</f>
        <v>36.799999999999997</v>
      </c>
      <c r="AR28" s="18">
        <f t="shared" ref="AR28" si="118">+AR24+AR27</f>
        <v>29.200000000000006</v>
      </c>
      <c r="AS28" s="18">
        <f>+AS24+AS27</f>
        <v>13.000000000000004</v>
      </c>
      <c r="AT28" s="18">
        <f>+AT24+AT27</f>
        <v>40.800000000000011</v>
      </c>
      <c r="AU28" s="18">
        <f>+AU24+AU27</f>
        <v>119.80000000000003</v>
      </c>
      <c r="AV28" s="18">
        <f>+AV24+AV27</f>
        <v>62.200000000000031</v>
      </c>
      <c r="AW28" s="19">
        <f>+AW24+AW27</f>
        <v>24.599999999999998</v>
      </c>
    </row>
    <row r="29" spans="1:49" ht="13.5" customHeight="1" x14ac:dyDescent="0.2">
      <c r="A29" s="34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6"/>
    </row>
    <row r="30" spans="1:49" ht="13.5" customHeight="1" x14ac:dyDescent="0.2">
      <c r="A30" s="14" t="s">
        <v>57</v>
      </c>
      <c r="B30" s="25">
        <f t="shared" ref="B30:C30" si="119">+B28-B31</f>
        <v>-216.29999999999998</v>
      </c>
      <c r="C30" s="25">
        <f t="shared" si="119"/>
        <v>-2.8999999999999897</v>
      </c>
      <c r="D30" s="25">
        <f t="shared" ref="D30:E30" si="120">+D28-D31</f>
        <v>-4.4000000000000057</v>
      </c>
      <c r="E30" s="25">
        <f t="shared" si="120"/>
        <v>-11.200000000000003</v>
      </c>
      <c r="F30" s="25">
        <f t="shared" ref="F30:G30" si="121">+F28-F31</f>
        <v>-114.40000000000002</v>
      </c>
      <c r="G30" s="25">
        <f t="shared" si="121"/>
        <v>-132.89999999999995</v>
      </c>
      <c r="H30" s="25">
        <f t="shared" ref="H30:O30" si="122">+H28-H31</f>
        <v>-15.100000000000017</v>
      </c>
      <c r="I30" s="25">
        <f t="shared" si="122"/>
        <v>5.4000000000000217</v>
      </c>
      <c r="J30" s="25">
        <f t="shared" si="122"/>
        <v>3.9999999999999831</v>
      </c>
      <c r="K30" s="25">
        <f t="shared" si="122"/>
        <v>45.500000000000007</v>
      </c>
      <c r="L30" s="25">
        <f t="shared" si="122"/>
        <v>39.800000000000026</v>
      </c>
      <c r="M30" s="25">
        <f t="shared" si="122"/>
        <v>16.499999999999982</v>
      </c>
      <c r="N30" s="25">
        <f t="shared" si="122"/>
        <v>-9.3000000000000078</v>
      </c>
      <c r="O30" s="25">
        <f t="shared" si="122"/>
        <v>12.700000000000012</v>
      </c>
      <c r="P30" s="12">
        <f t="shared" ref="P30:V30" si="123">+P28-P31</f>
        <v>9.1000000000000139</v>
      </c>
      <c r="Q30" s="12">
        <f t="shared" si="123"/>
        <v>33.500000000000071</v>
      </c>
      <c r="R30" s="12">
        <f t="shared" si="123"/>
        <v>26.6</v>
      </c>
      <c r="S30" s="12">
        <f t="shared" si="123"/>
        <v>24.700000000000042</v>
      </c>
      <c r="T30" s="12">
        <f t="shared" si="123"/>
        <v>5.3999999999999808</v>
      </c>
      <c r="U30" s="26">
        <f t="shared" si="123"/>
        <v>21.600000000000026</v>
      </c>
      <c r="V30" s="26">
        <f t="shared" si="123"/>
        <v>82.600000000000108</v>
      </c>
      <c r="W30" s="12">
        <f t="shared" ref="W30:AB30" si="124">+W28-W31</f>
        <v>-276.10000000000008</v>
      </c>
      <c r="X30" s="12">
        <f t="shared" si="124"/>
        <v>27.200000000000006</v>
      </c>
      <c r="Y30" s="12">
        <f t="shared" si="124"/>
        <v>12.099999999999996</v>
      </c>
      <c r="Z30" s="12">
        <f t="shared" si="124"/>
        <v>-45.399999999999984</v>
      </c>
      <c r="AA30" s="12">
        <f t="shared" si="124"/>
        <v>-282.2000000000001</v>
      </c>
      <c r="AB30" s="12">
        <f t="shared" si="124"/>
        <v>96.40000000000002</v>
      </c>
      <c r="AC30" s="12">
        <f t="shared" ref="AC30:AD30" si="125">+AC28-AC31</f>
        <v>6.3000000000000043</v>
      </c>
      <c r="AD30" s="12">
        <f t="shared" si="125"/>
        <v>5.2999999999999892</v>
      </c>
      <c r="AE30" s="12">
        <f t="shared" ref="AE30" si="126">+AE28-AE31</f>
        <v>-45.399999999999991</v>
      </c>
      <c r="AF30" s="12">
        <f>+AF28-AF31</f>
        <v>62.600000000000016</v>
      </c>
      <c r="AG30" s="12">
        <f t="shared" ref="AG30:AK30" si="127">+AG28-AG31</f>
        <v>46.999999999999993</v>
      </c>
      <c r="AH30" s="12">
        <f t="shared" si="127"/>
        <v>12.600000000000007</v>
      </c>
      <c r="AI30" s="12">
        <v>29.9</v>
      </c>
      <c r="AJ30" s="15">
        <f t="shared" si="127"/>
        <v>40.199999999999996</v>
      </c>
      <c r="AK30" s="15">
        <f t="shared" si="127"/>
        <v>129.69999999999985</v>
      </c>
      <c r="AL30" s="15">
        <f t="shared" ref="AL30:AM30" si="128">+AL28-AL31</f>
        <v>18.500000000000014</v>
      </c>
      <c r="AM30" s="15">
        <f t="shared" si="128"/>
        <v>11.999999999999989</v>
      </c>
      <c r="AN30" s="15">
        <f t="shared" ref="AN30" si="129">+AN28-AN31</f>
        <v>29.999999999999996</v>
      </c>
      <c r="AO30" s="12">
        <v>39.9</v>
      </c>
      <c r="AP30" s="12">
        <f>SUM(AL30:AO30)</f>
        <v>100.4</v>
      </c>
      <c r="AQ30" s="12">
        <v>37</v>
      </c>
      <c r="AR30" s="15">
        <v>29.2</v>
      </c>
      <c r="AS30" s="12">
        <v>13.7</v>
      </c>
      <c r="AT30" s="12">
        <v>40.700000000000003</v>
      </c>
      <c r="AU30" s="12">
        <f>SUM(AQ30:AT30)</f>
        <v>120.60000000000001</v>
      </c>
      <c r="AV30" s="12">
        <v>61.7</v>
      </c>
      <c r="AW30" s="13">
        <v>25</v>
      </c>
    </row>
    <row r="31" spans="1:49" ht="13.5" customHeight="1" x14ac:dyDescent="0.2">
      <c r="A31" s="14" t="s">
        <v>58</v>
      </c>
      <c r="B31" s="26">
        <v>0</v>
      </c>
      <c r="C31" s="26">
        <v>0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6">
        <v>-0.2</v>
      </c>
      <c r="J31" s="26">
        <v>-0.1</v>
      </c>
      <c r="K31" s="26">
        <v>1.7</v>
      </c>
      <c r="L31" s="26">
        <v>1.4</v>
      </c>
      <c r="M31" s="26">
        <v>1.6</v>
      </c>
      <c r="N31" s="26">
        <v>1.8</v>
      </c>
      <c r="O31" s="26">
        <v>2.9</v>
      </c>
      <c r="P31" s="26">
        <v>1.2</v>
      </c>
      <c r="Q31" s="26">
        <v>3</v>
      </c>
      <c r="R31" s="26">
        <v>10</v>
      </c>
      <c r="S31" s="26">
        <v>4.7</v>
      </c>
      <c r="T31" s="26">
        <v>4.0999999999999996</v>
      </c>
      <c r="U31" s="26">
        <v>9</v>
      </c>
      <c r="V31" s="26">
        <v>23.5</v>
      </c>
      <c r="W31" s="12">
        <v>2.5</v>
      </c>
      <c r="X31" s="12">
        <v>2.5</v>
      </c>
      <c r="Y31" s="12">
        <v>2.5</v>
      </c>
      <c r="Z31" s="12">
        <v>2.4</v>
      </c>
      <c r="AA31" s="12">
        <f>0.3+9.6</f>
        <v>9.9</v>
      </c>
      <c r="AB31" s="12">
        <v>0.8</v>
      </c>
      <c r="AC31" s="12">
        <v>-0.4</v>
      </c>
      <c r="AD31" s="12">
        <v>-0.1</v>
      </c>
      <c r="AE31" s="12">
        <v>-0.7</v>
      </c>
      <c r="AF31" s="12">
        <f>-8+7.6</f>
        <v>-0.40000000000000036</v>
      </c>
      <c r="AG31" s="12">
        <v>-0.7</v>
      </c>
      <c r="AH31" s="12">
        <v>-0.3</v>
      </c>
      <c r="AI31" s="12">
        <v>-0.3</v>
      </c>
      <c r="AJ31" s="12">
        <v>1.1000000000000001</v>
      </c>
      <c r="AK31" s="12">
        <v>-0.2</v>
      </c>
      <c r="AL31" s="12">
        <v>-0.7</v>
      </c>
      <c r="AM31" s="12">
        <v>-1.1000000000000001</v>
      </c>
      <c r="AN31" s="12">
        <v>-1.1000000000000001</v>
      </c>
      <c r="AO31" s="12">
        <v>0.1</v>
      </c>
      <c r="AP31" s="12">
        <f>SUM(AL31:AO31)</f>
        <v>-2.8000000000000003</v>
      </c>
      <c r="AQ31" s="12">
        <v>-0.2</v>
      </c>
      <c r="AR31" s="12">
        <v>0</v>
      </c>
      <c r="AS31" s="26">
        <v>-0.7</v>
      </c>
      <c r="AT31" s="26">
        <v>0.1</v>
      </c>
      <c r="AU31" s="12">
        <f>SUM(AQ31:AT31)</f>
        <v>-0.79999999999999993</v>
      </c>
      <c r="AV31" s="12">
        <v>0.5</v>
      </c>
      <c r="AW31" s="13">
        <v>-0.4</v>
      </c>
    </row>
    <row r="32" spans="1:49" ht="13.5" customHeight="1" x14ac:dyDescent="0.2">
      <c r="A32" s="14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3"/>
    </row>
    <row r="33" spans="1:49" ht="13.5" customHeight="1" x14ac:dyDescent="0.2">
      <c r="A33" s="14" t="s">
        <v>59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4"/>
      <c r="Q33" s="24"/>
      <c r="R33" s="24"/>
      <c r="S33" s="24"/>
      <c r="T33" s="24"/>
      <c r="U33" s="24"/>
      <c r="V33" s="24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3"/>
    </row>
    <row r="34" spans="1:49" ht="13.5" customHeight="1" x14ac:dyDescent="0.2">
      <c r="A34" s="14" t="s">
        <v>60</v>
      </c>
      <c r="B34" s="82">
        <v>-0.31</v>
      </c>
      <c r="C34" s="82">
        <v>0</v>
      </c>
      <c r="D34" s="82">
        <v>-0.01</v>
      </c>
      <c r="E34" s="82">
        <v>0</v>
      </c>
      <c r="F34" s="82">
        <v>-0.62</v>
      </c>
      <c r="G34" s="82">
        <v>-1.47</v>
      </c>
      <c r="H34" s="82">
        <v>-0.08</v>
      </c>
      <c r="I34" s="82">
        <v>0.03</v>
      </c>
      <c r="J34" s="82">
        <v>0.02</v>
      </c>
      <c r="K34" s="82">
        <v>0.25</v>
      </c>
      <c r="L34" s="82">
        <v>0.22</v>
      </c>
      <c r="M34" s="82">
        <v>0.09</v>
      </c>
      <c r="N34" s="82">
        <v>-0.05</v>
      </c>
      <c r="O34" s="37">
        <v>6.8665422683498928E-2</v>
      </c>
      <c r="P34" s="37">
        <v>0.05</v>
      </c>
      <c r="Q34" s="37">
        <v>0.18</v>
      </c>
      <c r="R34" s="37">
        <v>0.14000000000000001</v>
      </c>
      <c r="S34" s="37">
        <v>0.13</v>
      </c>
      <c r="T34" s="37">
        <v>0.03</v>
      </c>
      <c r="U34" s="37">
        <v>0.12</v>
      </c>
      <c r="V34" s="37">
        <v>0.45</v>
      </c>
      <c r="W34" s="82">
        <v>-1.49</v>
      </c>
      <c r="X34" s="82">
        <v>0.15</v>
      </c>
      <c r="Y34" s="82">
        <v>7.0000000000000007E-2</v>
      </c>
      <c r="Z34" s="82">
        <v>-0.25</v>
      </c>
      <c r="AA34" s="82">
        <v>-1.56</v>
      </c>
      <c r="AB34" s="82">
        <v>0.53</v>
      </c>
      <c r="AC34" s="82">
        <v>0.03</v>
      </c>
      <c r="AD34" s="82">
        <v>0.03</v>
      </c>
      <c r="AE34" s="82">
        <v>-0.25</v>
      </c>
      <c r="AF34" s="82">
        <v>0.35</v>
      </c>
      <c r="AG34" s="82">
        <v>0.25984732083698364</v>
      </c>
      <c r="AH34" s="82">
        <v>7.0000000000000007E-2</v>
      </c>
      <c r="AI34" s="82">
        <v>0.17</v>
      </c>
      <c r="AJ34" s="82">
        <v>0.22</v>
      </c>
      <c r="AK34" s="82">
        <v>0.72</v>
      </c>
      <c r="AL34" s="82">
        <v>0.1</v>
      </c>
      <c r="AM34" s="82">
        <v>7.0000000000000007E-2</v>
      </c>
      <c r="AN34" s="82">
        <v>0.17</v>
      </c>
      <c r="AO34" s="159">
        <v>0.22</v>
      </c>
      <c r="AP34" s="159">
        <v>0.56000000000000005</v>
      </c>
      <c r="AQ34" s="159">
        <v>0.2</v>
      </c>
      <c r="AR34" s="82">
        <v>0.16</v>
      </c>
      <c r="AS34" s="159">
        <v>0.08</v>
      </c>
      <c r="AT34" s="159">
        <v>0.23</v>
      </c>
      <c r="AU34" s="82">
        <f>SUM(AQ34:AT34)</f>
        <v>0.67</v>
      </c>
      <c r="AV34" s="82">
        <v>0.34</v>
      </c>
      <c r="AW34" s="135">
        <v>0.14000000000000001</v>
      </c>
    </row>
    <row r="35" spans="1:49" ht="13.5" customHeight="1" x14ac:dyDescent="0.2">
      <c r="A35" s="14" t="s">
        <v>61</v>
      </c>
      <c r="B35" s="82">
        <v>-0.31</v>
      </c>
      <c r="C35" s="82">
        <v>0</v>
      </c>
      <c r="D35" s="82">
        <v>-0.01</v>
      </c>
      <c r="E35" s="82">
        <v>0</v>
      </c>
      <c r="F35" s="82">
        <v>-0.62</v>
      </c>
      <c r="G35" s="82">
        <v>-1.47</v>
      </c>
      <c r="H35" s="82">
        <v>-0.08</v>
      </c>
      <c r="I35" s="82">
        <v>0.03</v>
      </c>
      <c r="J35" s="82">
        <v>0.02</v>
      </c>
      <c r="K35" s="82">
        <v>0.25</v>
      </c>
      <c r="L35" s="82">
        <v>0.22</v>
      </c>
      <c r="M35" s="82">
        <v>0.09</v>
      </c>
      <c r="N35" s="82">
        <v>-0.05</v>
      </c>
      <c r="O35" s="37">
        <v>6.8665422683498928E-2</v>
      </c>
      <c r="P35" s="37">
        <v>0.05</v>
      </c>
      <c r="Q35" s="37">
        <v>0.18</v>
      </c>
      <c r="R35" s="37">
        <v>0.14000000000000001</v>
      </c>
      <c r="S35" s="37">
        <v>0.13</v>
      </c>
      <c r="T35" s="37">
        <v>0.03</v>
      </c>
      <c r="U35" s="37">
        <v>0.12</v>
      </c>
      <c r="V35" s="37">
        <v>0.44</v>
      </c>
      <c r="W35" s="82">
        <f>+W34</f>
        <v>-1.49</v>
      </c>
      <c r="X35" s="82">
        <v>0.14000000000000001</v>
      </c>
      <c r="Y35" s="82">
        <v>7.0000000000000007E-2</v>
      </c>
      <c r="Z35" s="82">
        <f>+Z34</f>
        <v>-0.25</v>
      </c>
      <c r="AA35" s="82">
        <f>+AA34</f>
        <v>-1.56</v>
      </c>
      <c r="AB35" s="82">
        <v>0.46</v>
      </c>
      <c r="AC35" s="82">
        <f>+AC34</f>
        <v>0.03</v>
      </c>
      <c r="AD35" s="82">
        <f>+AD34</f>
        <v>0.03</v>
      </c>
      <c r="AE35" s="82">
        <f>+AE34</f>
        <v>-0.25</v>
      </c>
      <c r="AF35" s="82">
        <v>0.33</v>
      </c>
      <c r="AG35" s="82">
        <v>0.22973756318455849</v>
      </c>
      <c r="AH35" s="82">
        <v>7.0000000000000007E-2</v>
      </c>
      <c r="AI35" s="82">
        <v>0.15</v>
      </c>
      <c r="AJ35" s="82">
        <v>0.21</v>
      </c>
      <c r="AK35" s="82">
        <v>0.66</v>
      </c>
      <c r="AL35" s="82">
        <v>0.09</v>
      </c>
      <c r="AM35" s="82">
        <v>7.0000000000000007E-2</v>
      </c>
      <c r="AN35" s="82">
        <v>0.15</v>
      </c>
      <c r="AO35" s="82">
        <v>0.2</v>
      </c>
      <c r="AP35" s="82">
        <v>0.52</v>
      </c>
      <c r="AQ35" s="82">
        <v>0.19</v>
      </c>
      <c r="AR35" s="82">
        <v>0.15</v>
      </c>
      <c r="AS35" s="82">
        <v>0.08</v>
      </c>
      <c r="AT35" s="82">
        <v>0.21</v>
      </c>
      <c r="AU35" s="82">
        <f>SUM(AQ35:AT35)</f>
        <v>0.63</v>
      </c>
      <c r="AV35" s="82">
        <v>0.34</v>
      </c>
      <c r="AW35" s="135">
        <v>0.14000000000000001</v>
      </c>
    </row>
    <row r="36" spans="1:49" ht="12.75" customHeight="1" x14ac:dyDescent="0.2">
      <c r="A36" s="4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4"/>
      <c r="Q36" s="4"/>
      <c r="R36" s="5"/>
      <c r="V36" s="4"/>
      <c r="W36" s="12"/>
      <c r="X36" s="12"/>
      <c r="Y36" s="12"/>
      <c r="Z36" s="12"/>
      <c r="AB36" s="91"/>
      <c r="AC36" s="91"/>
      <c r="AD36" s="91"/>
      <c r="AE36" s="91"/>
      <c r="AF36" s="91"/>
      <c r="AG36" s="91"/>
      <c r="AH36" s="91"/>
      <c r="AI36" s="91"/>
    </row>
    <row r="37" spans="1:49" ht="12.75" hidden="1" customHeight="1" x14ac:dyDescent="0.2">
      <c r="A37" s="4" t="s">
        <v>62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7"/>
      <c r="V37" s="8"/>
    </row>
    <row r="38" spans="1:49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7"/>
      <c r="V38" s="4"/>
    </row>
    <row r="39" spans="1:49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7"/>
      <c r="V39" s="4"/>
    </row>
    <row r="40" spans="1:49" x14ac:dyDescent="0.2">
      <c r="A40" s="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4"/>
      <c r="N40" s="4"/>
      <c r="O40" s="4"/>
      <c r="P40" s="4"/>
      <c r="Q40" s="4"/>
      <c r="R40" s="7"/>
      <c r="V40" s="4"/>
    </row>
    <row r="41" spans="1:49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7"/>
      <c r="V41" s="4"/>
    </row>
    <row r="42" spans="1:49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7"/>
      <c r="V42" s="4"/>
    </row>
    <row r="43" spans="1:49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7"/>
      <c r="V43" s="4"/>
    </row>
    <row r="44" spans="1:49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7"/>
      <c r="V44" s="4"/>
    </row>
    <row r="45" spans="1:49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7"/>
      <c r="V45" s="4"/>
    </row>
    <row r="46" spans="1:49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7"/>
      <c r="V46" s="4"/>
    </row>
    <row r="47" spans="1:49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7"/>
      <c r="V47" s="4"/>
    </row>
    <row r="48" spans="1:49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7"/>
      <c r="V48" s="4"/>
    </row>
    <row r="49" spans="1:22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V49" s="7"/>
    </row>
  </sheetData>
  <phoneticPr fontId="29" type="noConversion"/>
  <pageMargins left="0.7" right="0.7" top="0.75" bottom="0.75" header="0.3" footer="0.3"/>
  <pageSetup paperSize="9" scale="84" orientation="landscape" r:id="rId1"/>
  <ignoredErrors>
    <ignoredError sqref="AU34:AU35 AU14:AU15 AU2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6BB0A-DBF6-4E5D-8839-B1B65F9BDD0F}">
  <sheetPr>
    <tabColor rgb="FF92D050"/>
    <pageSetUpPr fitToPage="1"/>
  </sheetPr>
  <dimension ref="A2:AV20"/>
  <sheetViews>
    <sheetView showGridLines="0" workbookViewId="0">
      <selection activeCell="AQ1" sqref="AQ1:AQ1048576"/>
    </sheetView>
  </sheetViews>
  <sheetFormatPr defaultRowHeight="15" x14ac:dyDescent="0.25"/>
  <cols>
    <col min="1" max="1" width="42" customWidth="1"/>
    <col min="2" max="30" width="9.140625" hidden="1" customWidth="1"/>
    <col min="31" max="36" width="0" hidden="1" customWidth="1"/>
  </cols>
  <sheetData>
    <row r="2" spans="1:48" x14ac:dyDescent="0.25">
      <c r="A2" s="114" t="s">
        <v>39</v>
      </c>
      <c r="B2" s="94" t="s">
        <v>0</v>
      </c>
      <c r="C2" s="94" t="s">
        <v>1</v>
      </c>
      <c r="D2" s="94" t="s">
        <v>2</v>
      </c>
      <c r="E2" s="94" t="s">
        <v>3</v>
      </c>
      <c r="F2" s="94" t="s">
        <v>4</v>
      </c>
      <c r="G2" s="94" t="s">
        <v>5</v>
      </c>
      <c r="H2" s="94" t="s">
        <v>6</v>
      </c>
      <c r="I2" s="94" t="s">
        <v>7</v>
      </c>
      <c r="J2" s="94" t="s">
        <v>8</v>
      </c>
      <c r="K2" s="94" t="s">
        <v>9</v>
      </c>
      <c r="L2" s="94" t="s">
        <v>10</v>
      </c>
      <c r="M2" s="94" t="s">
        <v>11</v>
      </c>
      <c r="N2" s="94" t="s">
        <v>12</v>
      </c>
      <c r="O2" s="94" t="s">
        <v>13</v>
      </c>
      <c r="P2" s="94" t="s">
        <v>14</v>
      </c>
      <c r="Q2" s="94" t="s">
        <v>15</v>
      </c>
      <c r="R2" s="94" t="s">
        <v>16</v>
      </c>
      <c r="S2" s="94" t="s">
        <v>17</v>
      </c>
      <c r="T2" s="94" t="s">
        <v>18</v>
      </c>
      <c r="U2" s="94" t="s">
        <v>19</v>
      </c>
      <c r="V2" s="94" t="s">
        <v>20</v>
      </c>
      <c r="W2" s="94" t="s">
        <v>21</v>
      </c>
      <c r="X2" s="94" t="s">
        <v>22</v>
      </c>
      <c r="Y2" s="94" t="s">
        <v>23</v>
      </c>
      <c r="Z2" s="94" t="s">
        <v>24</v>
      </c>
      <c r="AA2" s="94" t="s">
        <v>25</v>
      </c>
      <c r="AB2" s="94" t="s">
        <v>26</v>
      </c>
      <c r="AC2" s="94" t="s">
        <v>27</v>
      </c>
      <c r="AD2" s="94" t="s">
        <v>28</v>
      </c>
      <c r="AE2" s="94" t="s">
        <v>29</v>
      </c>
      <c r="AF2" s="94" t="s">
        <v>30</v>
      </c>
      <c r="AG2" s="94" t="s">
        <v>31</v>
      </c>
      <c r="AH2" s="94" t="s">
        <v>32</v>
      </c>
      <c r="AI2" s="94" t="s">
        <v>33</v>
      </c>
      <c r="AJ2" s="94" t="s">
        <v>34</v>
      </c>
      <c r="AK2" s="94" t="s">
        <v>198</v>
      </c>
      <c r="AL2" s="94" t="s">
        <v>199</v>
      </c>
      <c r="AM2" s="94" t="s">
        <v>200</v>
      </c>
      <c r="AN2" s="94" t="s">
        <v>201</v>
      </c>
      <c r="AO2" s="94" t="s">
        <v>203</v>
      </c>
      <c r="AP2" s="94" t="s">
        <v>207</v>
      </c>
      <c r="AQ2" s="94" t="s">
        <v>208</v>
      </c>
      <c r="AR2" s="94" t="s">
        <v>209</v>
      </c>
      <c r="AS2" s="94" t="s">
        <v>210</v>
      </c>
      <c r="AT2" s="94" t="s">
        <v>211</v>
      </c>
      <c r="AU2" s="94" t="s">
        <v>213</v>
      </c>
      <c r="AV2" s="94" t="s">
        <v>216</v>
      </c>
    </row>
    <row r="3" spans="1:48" x14ac:dyDescent="0.25">
      <c r="A3" s="115" t="s">
        <v>63</v>
      </c>
      <c r="B3" s="116">
        <f>+'Income statement'!C28</f>
        <v>-2.8999999999999897</v>
      </c>
      <c r="C3" s="116">
        <f>+'Income statement'!D28</f>
        <v>-4.4000000000000057</v>
      </c>
      <c r="D3" s="116">
        <f>+'Income statement'!E28</f>
        <v>-11.200000000000003</v>
      </c>
      <c r="E3" s="116">
        <f>+'Income statement'!F28</f>
        <v>-114.40000000000002</v>
      </c>
      <c r="F3" s="116">
        <f>+'Income statement'!G28</f>
        <v>-132.89999999999995</v>
      </c>
      <c r="G3" s="116">
        <f>+'Income statement'!H28</f>
        <v>-15.100000000000017</v>
      </c>
      <c r="H3" s="116">
        <f>+'Income statement'!I28</f>
        <v>5.2000000000000215</v>
      </c>
      <c r="I3" s="116">
        <f>+'Income statement'!J28</f>
        <v>3.899999999999983</v>
      </c>
      <c r="J3" s="116">
        <f>+'Income statement'!K28</f>
        <v>47.20000000000001</v>
      </c>
      <c r="K3" s="116">
        <f>+'Income statement'!L28</f>
        <v>41.200000000000024</v>
      </c>
      <c r="L3" s="116">
        <f>+'Income statement'!M28</f>
        <v>18.099999999999984</v>
      </c>
      <c r="M3" s="116">
        <f>+'Income statement'!N28</f>
        <v>-7.500000000000008</v>
      </c>
      <c r="N3" s="116">
        <f>+'Income statement'!O28</f>
        <v>15.600000000000012</v>
      </c>
      <c r="O3" s="116">
        <f>+'Income statement'!P28</f>
        <v>10.300000000000013</v>
      </c>
      <c r="P3" s="116">
        <f>+'Income statement'!Q28</f>
        <v>36.500000000000071</v>
      </c>
      <c r="Q3" s="116">
        <f>+'Income statement'!R28</f>
        <v>36.6</v>
      </c>
      <c r="R3" s="116">
        <f>+'Income statement'!S28</f>
        <v>29.400000000000041</v>
      </c>
      <c r="S3" s="116">
        <f>+'Income statement'!T28</f>
        <v>9.4999999999999805</v>
      </c>
      <c r="T3" s="116">
        <f>+'Income statement'!U28</f>
        <v>30.600000000000026</v>
      </c>
      <c r="U3" s="116">
        <f>+'Income statement'!V28</f>
        <v>106.10000000000011</v>
      </c>
      <c r="V3" s="116">
        <f>+'Income statement'!W28</f>
        <v>-273.60000000000008</v>
      </c>
      <c r="W3" s="116">
        <f>+'Income statement'!X28</f>
        <v>29.700000000000006</v>
      </c>
      <c r="X3" s="116">
        <f>+'Income statement'!Y28</f>
        <v>14.599999999999996</v>
      </c>
      <c r="Y3" s="116">
        <f>+'Income statement'!Z28</f>
        <v>-42.999999999999986</v>
      </c>
      <c r="Z3" s="116">
        <f>+'Income statement'!AA28</f>
        <v>-272.30000000000013</v>
      </c>
      <c r="AA3" s="116">
        <f>+'Income statement'!AB28</f>
        <v>97.200000000000017</v>
      </c>
      <c r="AB3" s="116">
        <f>+'Income statement'!AC28</f>
        <v>5.9000000000000039</v>
      </c>
      <c r="AC3" s="116">
        <f>+'Income statement'!AD28</f>
        <v>5.1999999999999895</v>
      </c>
      <c r="AD3" s="116">
        <f>+'Income statement'!AE28</f>
        <v>-46.099999999999994</v>
      </c>
      <c r="AE3" s="116">
        <f>+'Income statement'!AF28</f>
        <v>62.200000000000017</v>
      </c>
      <c r="AF3" s="116">
        <f>+'Income statement'!AG28</f>
        <v>46.29999999999999</v>
      </c>
      <c r="AG3" s="116">
        <f>+'Income statement'!AH28</f>
        <v>12.300000000000006</v>
      </c>
      <c r="AH3" s="116">
        <f>+'Income statement'!AI28</f>
        <v>29.600000000000016</v>
      </c>
      <c r="AI3" s="116">
        <f>+'Income statement'!AJ28</f>
        <v>41.3</v>
      </c>
      <c r="AJ3" s="116">
        <f>+'Income statement'!AK28</f>
        <v>129.49999999999986</v>
      </c>
      <c r="AK3" s="116">
        <f>+'Income statement'!AL28</f>
        <v>17.800000000000015</v>
      </c>
      <c r="AL3" s="116">
        <f>+'Income statement'!AM28</f>
        <v>10.89999999999999</v>
      </c>
      <c r="AM3" s="116">
        <f>+'Income statement'!AN28</f>
        <v>28.899999999999995</v>
      </c>
      <c r="AN3" s="116">
        <f>+'Income statement'!AO28</f>
        <v>40.000000000000014</v>
      </c>
      <c r="AO3" s="116">
        <f>+'Income statement'!AP28</f>
        <v>97.599999999999923</v>
      </c>
      <c r="AP3" s="116">
        <v>36.799999999999997</v>
      </c>
      <c r="AQ3" s="116">
        <f>+'Income statement'!AR28</f>
        <v>29.200000000000006</v>
      </c>
      <c r="AR3" s="116">
        <v>13</v>
      </c>
      <c r="AS3" s="116">
        <v>40.799999999999997</v>
      </c>
      <c r="AT3" s="116">
        <f>SUM(AP3:AS3)</f>
        <v>119.8</v>
      </c>
      <c r="AU3" s="116">
        <v>62.2</v>
      </c>
      <c r="AV3" s="162">
        <v>24.6</v>
      </c>
    </row>
    <row r="4" spans="1:48" x14ac:dyDescent="0.25">
      <c r="A4" s="115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63"/>
    </row>
    <row r="5" spans="1:48" x14ac:dyDescent="0.25">
      <c r="A5" s="118" t="s">
        <v>64</v>
      </c>
      <c r="B5" s="126">
        <v>0.5</v>
      </c>
      <c r="C5" s="126">
        <v>-0.6</v>
      </c>
      <c r="D5" s="126">
        <v>-0.3</v>
      </c>
      <c r="E5" s="126">
        <v>-0.2</v>
      </c>
      <c r="F5" s="116">
        <f>SUM(B5:E5)</f>
        <v>-0.6</v>
      </c>
      <c r="G5" s="126">
        <v>-0.2</v>
      </c>
      <c r="H5" s="126">
        <v>1.1000000000000001</v>
      </c>
      <c r="I5" s="126">
        <v>-0.3</v>
      </c>
      <c r="J5" s="126">
        <v>-1.4</v>
      </c>
      <c r="K5" s="126">
        <v>-0.8</v>
      </c>
      <c r="L5" s="126">
        <v>0.1</v>
      </c>
      <c r="M5" s="126">
        <v>-1.6</v>
      </c>
      <c r="N5" s="126">
        <v>-0.4</v>
      </c>
      <c r="O5" s="126">
        <v>0.3</v>
      </c>
      <c r="P5" s="126">
        <v>-1.6</v>
      </c>
      <c r="Q5" s="126">
        <v>-1.6</v>
      </c>
      <c r="R5" s="126">
        <v>1.8</v>
      </c>
      <c r="S5" s="126">
        <v>-1.1000000000000001</v>
      </c>
      <c r="T5" s="126">
        <v>0.4</v>
      </c>
      <c r="U5" s="126">
        <v>-0.5</v>
      </c>
      <c r="V5" s="126">
        <v>-2.2999999999999998</v>
      </c>
      <c r="W5" s="126">
        <v>-0.5</v>
      </c>
      <c r="X5" s="126">
        <v>-0.2</v>
      </c>
      <c r="Y5" s="126">
        <v>0.6</v>
      </c>
      <c r="Z5" s="126">
        <v>-2.4</v>
      </c>
      <c r="AA5" s="126">
        <v>-1.7</v>
      </c>
      <c r="AB5" s="126">
        <v>2.7</v>
      </c>
      <c r="AC5" s="126">
        <v>-4.3</v>
      </c>
      <c r="AD5" s="126">
        <v>-2.8</v>
      </c>
      <c r="AE5" s="126">
        <v>-6.1</v>
      </c>
      <c r="AF5" s="126">
        <v>-2.2000000000000002</v>
      </c>
      <c r="AG5" s="126">
        <v>-7.1</v>
      </c>
      <c r="AH5" s="126">
        <v>-7.3</v>
      </c>
      <c r="AI5" s="126">
        <v>9.1999999999999993</v>
      </c>
      <c r="AJ5" s="126">
        <f>SUM(AF5:AI5)</f>
        <v>-7.4000000000000021</v>
      </c>
      <c r="AK5" s="126">
        <v>1.2</v>
      </c>
      <c r="AL5" s="126">
        <f>0.8+0.3</f>
        <v>1.1000000000000001</v>
      </c>
      <c r="AM5" s="126">
        <v>-3.7</v>
      </c>
      <c r="AN5" s="126">
        <v>5.0999999999999996</v>
      </c>
      <c r="AO5" s="126">
        <f>SUM(AK5:AN5)</f>
        <v>3.6999999999999993</v>
      </c>
      <c r="AP5" s="126">
        <v>-2.2000000000000002</v>
      </c>
      <c r="AQ5" s="126">
        <v>-0.9</v>
      </c>
      <c r="AR5" s="126">
        <v>4.8</v>
      </c>
      <c r="AS5" s="126">
        <v>-6.8</v>
      </c>
      <c r="AT5" s="116">
        <f>SUM(AP5:AS5)</f>
        <v>-5.0999999999999996</v>
      </c>
      <c r="AU5" s="116">
        <v>4.8</v>
      </c>
      <c r="AV5" s="162">
        <v>6.8</v>
      </c>
    </row>
    <row r="6" spans="1:48" x14ac:dyDescent="0.25">
      <c r="A6" s="118" t="s">
        <v>65</v>
      </c>
      <c r="B6" s="119">
        <v>0</v>
      </c>
      <c r="C6" s="119">
        <v>0</v>
      </c>
      <c r="D6" s="119">
        <v>0</v>
      </c>
      <c r="E6" s="119">
        <v>0</v>
      </c>
      <c r="F6" s="119">
        <v>0</v>
      </c>
      <c r="G6" s="119">
        <v>0</v>
      </c>
      <c r="H6" s="119">
        <v>0</v>
      </c>
      <c r="I6" s="119">
        <v>0</v>
      </c>
      <c r="J6" s="119">
        <v>0</v>
      </c>
      <c r="K6" s="119">
        <v>0</v>
      </c>
      <c r="L6" s="119">
        <v>0</v>
      </c>
      <c r="M6" s="119">
        <v>0</v>
      </c>
      <c r="N6" s="119">
        <v>0</v>
      </c>
      <c r="O6" s="119">
        <v>0</v>
      </c>
      <c r="P6" s="119">
        <v>0</v>
      </c>
      <c r="Q6" s="119">
        <v>0</v>
      </c>
      <c r="R6" s="119">
        <v>0</v>
      </c>
      <c r="S6" s="119">
        <v>0</v>
      </c>
      <c r="T6" s="119">
        <v>0</v>
      </c>
      <c r="U6" s="119">
        <v>0</v>
      </c>
      <c r="V6" s="119">
        <v>0</v>
      </c>
      <c r="W6" s="119">
        <v>0</v>
      </c>
      <c r="X6" s="119">
        <v>0</v>
      </c>
      <c r="Y6" s="119">
        <v>0</v>
      </c>
      <c r="Z6" s="119">
        <v>0</v>
      </c>
      <c r="AA6" s="119">
        <v>0</v>
      </c>
      <c r="AB6" s="119">
        <v>0</v>
      </c>
      <c r="AC6" s="119">
        <v>0</v>
      </c>
      <c r="AD6" s="126">
        <v>-7.8</v>
      </c>
      <c r="AE6" s="126">
        <v>-7.8</v>
      </c>
      <c r="AF6" s="126">
        <v>28.6</v>
      </c>
      <c r="AG6" s="126">
        <v>27.7</v>
      </c>
      <c r="AH6" s="126">
        <v>20.3</v>
      </c>
      <c r="AI6" s="126">
        <v>0.9</v>
      </c>
      <c r="AJ6" s="126">
        <f t="shared" ref="AJ6:AJ7" si="0">SUM(AF6:AI6)</f>
        <v>77.5</v>
      </c>
      <c r="AK6" s="126">
        <v>-9.1999999999999993</v>
      </c>
      <c r="AL6" s="126">
        <f>10.6+0.1</f>
        <v>10.7</v>
      </c>
      <c r="AM6" s="126">
        <v>20.7</v>
      </c>
      <c r="AN6" s="126">
        <v>-26.1</v>
      </c>
      <c r="AO6" s="126">
        <f>SUM(AK6:AN6)</f>
        <v>-3.9000000000000021</v>
      </c>
      <c r="AP6" s="126">
        <v>12.8</v>
      </c>
      <c r="AQ6" s="126">
        <v>1.6</v>
      </c>
      <c r="AR6" s="126">
        <v>-22.3</v>
      </c>
      <c r="AS6" s="126">
        <v>22.8</v>
      </c>
      <c r="AT6" s="116">
        <f>SUM(AP6:AS6)</f>
        <v>14.9</v>
      </c>
      <c r="AU6" s="116">
        <v>-9.5</v>
      </c>
      <c r="AV6" s="162">
        <v>-6.8</v>
      </c>
    </row>
    <row r="7" spans="1:48" x14ac:dyDescent="0.25">
      <c r="A7" s="118" t="s">
        <v>66</v>
      </c>
      <c r="B7" s="119">
        <v>7.3</v>
      </c>
      <c r="C7" s="119">
        <v>6.4</v>
      </c>
      <c r="D7" s="119">
        <v>3.8</v>
      </c>
      <c r="E7" s="126">
        <v>-4.2</v>
      </c>
      <c r="F7" s="116">
        <f>SUM(B7:E7)</f>
        <v>13.3</v>
      </c>
      <c r="G7" s="119">
        <v>5.4</v>
      </c>
      <c r="H7" s="119">
        <v>3.6</v>
      </c>
      <c r="I7" s="119">
        <v>3.2</v>
      </c>
      <c r="J7" s="119">
        <v>1.1000000000000001</v>
      </c>
      <c r="K7" s="129">
        <v>13.3</v>
      </c>
      <c r="L7" s="119">
        <v>1.1000000000000001</v>
      </c>
      <c r="M7" s="119">
        <v>0.6</v>
      </c>
      <c r="N7" s="119">
        <v>0.6</v>
      </c>
      <c r="O7" s="119">
        <v>0.6</v>
      </c>
      <c r="P7" s="129">
        <v>2.9</v>
      </c>
      <c r="Q7" s="119">
        <v>0.6</v>
      </c>
      <c r="R7" s="119">
        <v>0.2</v>
      </c>
      <c r="S7" s="119">
        <v>0.3</v>
      </c>
      <c r="T7" s="119">
        <v>0.6</v>
      </c>
      <c r="U7" s="119">
        <v>1.7</v>
      </c>
      <c r="V7" s="119">
        <v>0</v>
      </c>
      <c r="W7" s="119">
        <v>0</v>
      </c>
      <c r="X7" s="119">
        <v>0</v>
      </c>
      <c r="Y7" s="119">
        <v>0</v>
      </c>
      <c r="Z7" s="119">
        <v>0</v>
      </c>
      <c r="AA7" s="119">
        <v>0</v>
      </c>
      <c r="AB7" s="119">
        <v>0</v>
      </c>
      <c r="AC7" s="126">
        <v>-2.2999999999999998</v>
      </c>
      <c r="AD7" s="119">
        <v>1.9</v>
      </c>
      <c r="AE7" s="126">
        <v>-0.4</v>
      </c>
      <c r="AF7" s="126">
        <v>-2.2000000000000002</v>
      </c>
      <c r="AG7" s="126">
        <v>-12.2</v>
      </c>
      <c r="AH7" s="126">
        <v>-10.3</v>
      </c>
      <c r="AI7" s="126">
        <v>20.7</v>
      </c>
      <c r="AJ7" s="126">
        <f t="shared" si="0"/>
        <v>-4</v>
      </c>
      <c r="AK7" s="126">
        <v>1</v>
      </c>
      <c r="AL7" s="126">
        <f>1.9-0.1</f>
        <v>1.7999999999999998</v>
      </c>
      <c r="AM7" s="126">
        <v>1.4</v>
      </c>
      <c r="AN7" s="126">
        <v>0.7</v>
      </c>
      <c r="AO7" s="126">
        <f>SUM(AK7:AN7)</f>
        <v>4.8999999999999995</v>
      </c>
      <c r="AP7" s="126">
        <v>-0.7</v>
      </c>
      <c r="AQ7" s="126">
        <v>0.2</v>
      </c>
      <c r="AR7" s="126">
        <v>0.6</v>
      </c>
      <c r="AS7" s="126">
        <v>-0.6</v>
      </c>
      <c r="AT7" s="116">
        <f>SUM(AP7:AS7)</f>
        <v>-0.49999999999999994</v>
      </c>
      <c r="AU7" s="116">
        <v>0</v>
      </c>
      <c r="AV7" s="162">
        <v>0</v>
      </c>
    </row>
    <row r="8" spans="1:48" x14ac:dyDescent="0.25">
      <c r="A8" s="120" t="s">
        <v>67</v>
      </c>
      <c r="B8" s="121">
        <f t="shared" ref="B8:AE8" si="1">SUM(B5:B7)</f>
        <v>7.8</v>
      </c>
      <c r="C8" s="121">
        <f t="shared" si="1"/>
        <v>5.8000000000000007</v>
      </c>
      <c r="D8" s="121">
        <f t="shared" si="1"/>
        <v>3.5</v>
      </c>
      <c r="E8" s="121">
        <f t="shared" si="1"/>
        <v>-4.4000000000000004</v>
      </c>
      <c r="F8" s="121">
        <f t="shared" si="1"/>
        <v>12.700000000000001</v>
      </c>
      <c r="G8" s="121">
        <f t="shared" si="1"/>
        <v>5.2</v>
      </c>
      <c r="H8" s="121">
        <f t="shared" si="1"/>
        <v>4.7</v>
      </c>
      <c r="I8" s="121">
        <f t="shared" si="1"/>
        <v>2.9000000000000004</v>
      </c>
      <c r="J8" s="121">
        <f t="shared" si="1"/>
        <v>-0.29999999999999982</v>
      </c>
      <c r="K8" s="121">
        <f t="shared" si="1"/>
        <v>12.5</v>
      </c>
      <c r="L8" s="121">
        <f t="shared" si="1"/>
        <v>1.2000000000000002</v>
      </c>
      <c r="M8" s="121">
        <f t="shared" si="1"/>
        <v>-1</v>
      </c>
      <c r="N8" s="121">
        <f t="shared" si="1"/>
        <v>0.19999999999999996</v>
      </c>
      <c r="O8" s="121">
        <f t="shared" si="1"/>
        <v>0.89999999999999991</v>
      </c>
      <c r="P8" s="121">
        <f t="shared" si="1"/>
        <v>1.2999999999999998</v>
      </c>
      <c r="Q8" s="121">
        <f t="shared" si="1"/>
        <v>-1</v>
      </c>
      <c r="R8" s="121">
        <f t="shared" si="1"/>
        <v>2</v>
      </c>
      <c r="S8" s="121">
        <f t="shared" si="1"/>
        <v>-0.8</v>
      </c>
      <c r="T8" s="121">
        <f t="shared" si="1"/>
        <v>1</v>
      </c>
      <c r="U8" s="121">
        <f t="shared" si="1"/>
        <v>1.2</v>
      </c>
      <c r="V8" s="121">
        <f t="shared" si="1"/>
        <v>-2.2999999999999998</v>
      </c>
      <c r="W8" s="121">
        <f t="shared" si="1"/>
        <v>-0.5</v>
      </c>
      <c r="X8" s="121">
        <f t="shared" si="1"/>
        <v>-0.2</v>
      </c>
      <c r="Y8" s="121">
        <f t="shared" si="1"/>
        <v>0.6</v>
      </c>
      <c r="Z8" s="121">
        <f t="shared" si="1"/>
        <v>-2.4</v>
      </c>
      <c r="AA8" s="121">
        <f t="shared" si="1"/>
        <v>-1.7</v>
      </c>
      <c r="AB8" s="121">
        <f t="shared" si="1"/>
        <v>2.7</v>
      </c>
      <c r="AC8" s="121">
        <f t="shared" si="1"/>
        <v>-6.6</v>
      </c>
      <c r="AD8" s="121">
        <f t="shared" si="1"/>
        <v>-8.6999999999999993</v>
      </c>
      <c r="AE8" s="121">
        <f t="shared" si="1"/>
        <v>-14.299999999999999</v>
      </c>
      <c r="AF8" s="121">
        <f t="shared" ref="AF8:AG8" si="2">SUM(AF5:AF7)</f>
        <v>24.200000000000003</v>
      </c>
      <c r="AG8" s="121">
        <f t="shared" si="2"/>
        <v>8.4000000000000021</v>
      </c>
      <c r="AH8" s="121">
        <f t="shared" ref="AH8:AI8" si="3">SUM(AH5:AH7)</f>
        <v>2.6999999999999993</v>
      </c>
      <c r="AI8" s="121">
        <f t="shared" si="3"/>
        <v>30.799999999999997</v>
      </c>
      <c r="AJ8" s="121">
        <f t="shared" ref="AJ8:AK8" si="4">SUM(AJ5:AJ7)</f>
        <v>66.099999999999994</v>
      </c>
      <c r="AK8" s="121">
        <f t="shared" si="4"/>
        <v>-6.9999999999999991</v>
      </c>
      <c r="AL8" s="121">
        <f t="shared" ref="AL8:AM8" si="5">SUM(AL5:AL7)</f>
        <v>13.599999999999998</v>
      </c>
      <c r="AM8" s="121">
        <f t="shared" si="5"/>
        <v>18.399999999999999</v>
      </c>
      <c r="AN8" s="121">
        <f t="shared" ref="AN8:AQ8" si="6">SUM(AN5:AN7)</f>
        <v>-20.3</v>
      </c>
      <c r="AO8" s="128">
        <f>SUM(AK8:AN8)</f>
        <v>4.6999999999999957</v>
      </c>
      <c r="AP8" s="121">
        <f t="shared" si="6"/>
        <v>9.9000000000000021</v>
      </c>
      <c r="AQ8" s="121">
        <f t="shared" si="6"/>
        <v>0.90000000000000013</v>
      </c>
      <c r="AR8" s="121">
        <f t="shared" ref="AR8" si="7">SUM(AR5:AR7)</f>
        <v>-16.899999999999999</v>
      </c>
      <c r="AS8" s="121">
        <f t="shared" ref="AS8:AU8" si="8">SUM(AS5:AS7)</f>
        <v>15.4</v>
      </c>
      <c r="AT8" s="121">
        <f t="shared" si="8"/>
        <v>9.3000000000000007</v>
      </c>
      <c r="AU8" s="121">
        <f t="shared" si="8"/>
        <v>-4.7</v>
      </c>
      <c r="AV8" s="165">
        <f t="shared" ref="AV8" si="9">SUM(AV5:AV7)</f>
        <v>0</v>
      </c>
    </row>
    <row r="9" spans="1:48" x14ac:dyDescent="0.25">
      <c r="A9" s="115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66"/>
    </row>
    <row r="10" spans="1:48" x14ac:dyDescent="0.25">
      <c r="A10" s="123" t="s">
        <v>68</v>
      </c>
      <c r="B10" s="116">
        <v>-0.5</v>
      </c>
      <c r="C10" s="116">
        <v>0.1</v>
      </c>
      <c r="D10" s="116">
        <v>-0.4</v>
      </c>
      <c r="E10" s="116">
        <v>0.2</v>
      </c>
      <c r="F10" s="116">
        <v>-0.6</v>
      </c>
      <c r="G10" s="119">
        <v>0</v>
      </c>
      <c r="H10" s="116">
        <v>-1.1000000000000001</v>
      </c>
      <c r="I10" s="119">
        <v>0</v>
      </c>
      <c r="J10" s="116">
        <v>0.6</v>
      </c>
      <c r="K10" s="116">
        <v>-0.5</v>
      </c>
      <c r="L10" s="119">
        <v>0</v>
      </c>
      <c r="M10" s="119">
        <v>0</v>
      </c>
      <c r="N10" s="119">
        <v>0</v>
      </c>
      <c r="O10" s="116">
        <v>-0.5</v>
      </c>
      <c r="P10" s="116">
        <v>-0.5</v>
      </c>
      <c r="Q10" s="119">
        <v>0</v>
      </c>
      <c r="R10" s="119">
        <v>0</v>
      </c>
      <c r="S10" s="119">
        <v>0.1</v>
      </c>
      <c r="T10" s="119">
        <v>0</v>
      </c>
      <c r="U10" s="119">
        <v>0.1</v>
      </c>
      <c r="V10" s="119">
        <v>0.1</v>
      </c>
      <c r="W10" s="116">
        <v>-0.1</v>
      </c>
      <c r="X10" s="119">
        <v>0</v>
      </c>
      <c r="Y10" s="116">
        <v>-0.1</v>
      </c>
      <c r="Z10" s="116">
        <v>-0.1</v>
      </c>
      <c r="AA10" s="119">
        <v>0</v>
      </c>
      <c r="AB10" s="119">
        <v>0</v>
      </c>
      <c r="AC10" s="119">
        <v>0</v>
      </c>
      <c r="AD10" s="116">
        <v>-0.2</v>
      </c>
      <c r="AE10" s="116">
        <v>-0.2</v>
      </c>
      <c r="AF10" s="116">
        <v>0.2</v>
      </c>
      <c r="AG10" s="119">
        <v>0</v>
      </c>
      <c r="AH10" s="119">
        <v>0</v>
      </c>
      <c r="AI10" s="119">
        <v>0.3</v>
      </c>
      <c r="AJ10" s="126">
        <f t="shared" ref="AJ10" si="10">SUM(AF10:AI10)</f>
        <v>0.5</v>
      </c>
      <c r="AK10" s="119">
        <v>0</v>
      </c>
      <c r="AL10" s="119">
        <v>0</v>
      </c>
      <c r="AM10" s="119">
        <v>0</v>
      </c>
      <c r="AN10" s="126">
        <v>-0.1</v>
      </c>
      <c r="AO10" s="126">
        <v>-0.1</v>
      </c>
      <c r="AP10" s="119">
        <v>0</v>
      </c>
      <c r="AQ10" s="119">
        <v>0</v>
      </c>
      <c r="AR10" s="119">
        <v>0</v>
      </c>
      <c r="AS10" s="126">
        <v>-0.1</v>
      </c>
      <c r="AT10" s="116">
        <f>SUM(AP10:AS10)</f>
        <v>-0.1</v>
      </c>
      <c r="AU10" s="116">
        <v>0</v>
      </c>
      <c r="AV10" s="162">
        <v>0</v>
      </c>
    </row>
    <row r="11" spans="1:48" x14ac:dyDescent="0.25">
      <c r="A11" s="123" t="s">
        <v>205</v>
      </c>
      <c r="B11" s="116"/>
      <c r="C11" s="116"/>
      <c r="D11" s="116"/>
      <c r="E11" s="116"/>
      <c r="F11" s="116"/>
      <c r="G11" s="119"/>
      <c r="H11" s="116"/>
      <c r="I11" s="119"/>
      <c r="J11" s="116"/>
      <c r="K11" s="116"/>
      <c r="L11" s="119"/>
      <c r="M11" s="119"/>
      <c r="N11" s="119"/>
      <c r="O11" s="116"/>
      <c r="P11" s="116"/>
      <c r="Q11" s="119"/>
      <c r="R11" s="119"/>
      <c r="S11" s="119"/>
      <c r="T11" s="119"/>
      <c r="U11" s="119"/>
      <c r="V11" s="119"/>
      <c r="W11" s="116"/>
      <c r="X11" s="119"/>
      <c r="Y11" s="116"/>
      <c r="Z11" s="116"/>
      <c r="AA11" s="119">
        <v>0</v>
      </c>
      <c r="AB11" s="119">
        <v>0</v>
      </c>
      <c r="AC11" s="119">
        <v>0</v>
      </c>
      <c r="AD11" s="119">
        <v>0</v>
      </c>
      <c r="AE11" s="119">
        <v>0</v>
      </c>
      <c r="AF11" s="119">
        <v>0</v>
      </c>
      <c r="AG11" s="119">
        <v>0</v>
      </c>
      <c r="AH11" s="119">
        <v>0</v>
      </c>
      <c r="AI11" s="119">
        <v>0</v>
      </c>
      <c r="AJ11" s="119">
        <v>0</v>
      </c>
      <c r="AK11" s="119">
        <v>0</v>
      </c>
      <c r="AL11" s="119">
        <v>0</v>
      </c>
      <c r="AM11" s="119">
        <v>0</v>
      </c>
      <c r="AN11" s="126">
        <v>-0.4</v>
      </c>
      <c r="AO11" s="126">
        <v>-0.4</v>
      </c>
      <c r="AP11" s="119">
        <v>0</v>
      </c>
      <c r="AQ11" s="119">
        <v>0</v>
      </c>
      <c r="AR11" s="119">
        <v>0</v>
      </c>
      <c r="AS11" s="119">
        <v>0</v>
      </c>
      <c r="AT11" s="119">
        <v>0</v>
      </c>
      <c r="AU11" s="119">
        <v>0</v>
      </c>
      <c r="AV11" s="167">
        <v>0</v>
      </c>
    </row>
    <row r="12" spans="1:48" x14ac:dyDescent="0.25">
      <c r="A12" s="120" t="s">
        <v>69</v>
      </c>
      <c r="B12" s="128">
        <f t="shared" ref="B12" si="11">+B10</f>
        <v>-0.5</v>
      </c>
      <c r="C12" s="128">
        <f t="shared" ref="C12:AE12" si="12">+C10</f>
        <v>0.1</v>
      </c>
      <c r="D12" s="128">
        <f t="shared" si="12"/>
        <v>-0.4</v>
      </c>
      <c r="E12" s="128">
        <f t="shared" si="12"/>
        <v>0.2</v>
      </c>
      <c r="F12" s="128">
        <f t="shared" si="12"/>
        <v>-0.6</v>
      </c>
      <c r="G12" s="128">
        <f t="shared" si="12"/>
        <v>0</v>
      </c>
      <c r="H12" s="128">
        <f t="shared" si="12"/>
        <v>-1.1000000000000001</v>
      </c>
      <c r="I12" s="128">
        <f t="shared" si="12"/>
        <v>0</v>
      </c>
      <c r="J12" s="128">
        <f t="shared" si="12"/>
        <v>0.6</v>
      </c>
      <c r="K12" s="128">
        <f t="shared" si="12"/>
        <v>-0.5</v>
      </c>
      <c r="L12" s="128">
        <f t="shared" si="12"/>
        <v>0</v>
      </c>
      <c r="M12" s="128">
        <f t="shared" si="12"/>
        <v>0</v>
      </c>
      <c r="N12" s="128">
        <f t="shared" si="12"/>
        <v>0</v>
      </c>
      <c r="O12" s="128">
        <f t="shared" si="12"/>
        <v>-0.5</v>
      </c>
      <c r="P12" s="128">
        <f t="shared" si="12"/>
        <v>-0.5</v>
      </c>
      <c r="Q12" s="128">
        <f t="shared" si="12"/>
        <v>0</v>
      </c>
      <c r="R12" s="128">
        <f t="shared" si="12"/>
        <v>0</v>
      </c>
      <c r="S12" s="128">
        <f t="shared" si="12"/>
        <v>0.1</v>
      </c>
      <c r="T12" s="128">
        <f t="shared" si="12"/>
        <v>0</v>
      </c>
      <c r="U12" s="128">
        <f t="shared" si="12"/>
        <v>0.1</v>
      </c>
      <c r="V12" s="128">
        <f t="shared" si="12"/>
        <v>0.1</v>
      </c>
      <c r="W12" s="128">
        <f t="shared" si="12"/>
        <v>-0.1</v>
      </c>
      <c r="X12" s="128">
        <f t="shared" si="12"/>
        <v>0</v>
      </c>
      <c r="Y12" s="128">
        <f t="shared" si="12"/>
        <v>-0.1</v>
      </c>
      <c r="Z12" s="128">
        <f t="shared" si="12"/>
        <v>-0.1</v>
      </c>
      <c r="AA12" s="146">
        <v>0</v>
      </c>
      <c r="AB12" s="146">
        <v>0</v>
      </c>
      <c r="AC12" s="146">
        <v>0</v>
      </c>
      <c r="AD12" s="128">
        <f t="shared" si="12"/>
        <v>-0.2</v>
      </c>
      <c r="AE12" s="128">
        <f t="shared" si="12"/>
        <v>-0.2</v>
      </c>
      <c r="AF12" s="128">
        <f t="shared" ref="AF12" si="13">+AF10</f>
        <v>0.2</v>
      </c>
      <c r="AG12" s="146">
        <v>0</v>
      </c>
      <c r="AH12" s="146">
        <v>0</v>
      </c>
      <c r="AI12" s="128">
        <f t="shared" ref="AI12" si="14">+AI10</f>
        <v>0.3</v>
      </c>
      <c r="AJ12" s="128">
        <f t="shared" ref="AJ12" si="15">+AJ10</f>
        <v>0.5</v>
      </c>
      <c r="AK12" s="146">
        <v>0</v>
      </c>
      <c r="AL12" s="146">
        <v>0</v>
      </c>
      <c r="AM12" s="146">
        <v>0</v>
      </c>
      <c r="AN12" s="121">
        <v>-0.5</v>
      </c>
      <c r="AO12" s="121">
        <v>-0.5</v>
      </c>
      <c r="AP12" s="160">
        <v>0</v>
      </c>
      <c r="AQ12" s="146">
        <v>0</v>
      </c>
      <c r="AR12" s="160">
        <v>0</v>
      </c>
      <c r="AS12" s="121">
        <f>SUM(AS10:AS11)</f>
        <v>-0.1</v>
      </c>
      <c r="AT12" s="121">
        <f>SUM(AP12:AS12)</f>
        <v>-0.1</v>
      </c>
      <c r="AU12" s="121">
        <v>0</v>
      </c>
      <c r="AV12" s="165">
        <v>0</v>
      </c>
    </row>
    <row r="13" spans="1:48" x14ac:dyDescent="0.25">
      <c r="A13" s="124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68"/>
    </row>
    <row r="14" spans="1:48" x14ac:dyDescent="0.25">
      <c r="A14" s="120" t="s">
        <v>70</v>
      </c>
      <c r="B14" s="128">
        <f t="shared" ref="B14" si="16">+B8+B12</f>
        <v>7.3</v>
      </c>
      <c r="C14" s="128">
        <f t="shared" ref="C14:AE14" si="17">+C8+C12</f>
        <v>5.9</v>
      </c>
      <c r="D14" s="128">
        <f t="shared" si="17"/>
        <v>3.1</v>
      </c>
      <c r="E14" s="128">
        <f t="shared" si="17"/>
        <v>-4.2</v>
      </c>
      <c r="F14" s="128">
        <f t="shared" si="17"/>
        <v>12.100000000000001</v>
      </c>
      <c r="G14" s="128">
        <f t="shared" si="17"/>
        <v>5.2</v>
      </c>
      <c r="H14" s="128">
        <f t="shared" si="17"/>
        <v>3.6</v>
      </c>
      <c r="I14" s="128">
        <f t="shared" si="17"/>
        <v>2.9000000000000004</v>
      </c>
      <c r="J14" s="128">
        <f t="shared" si="17"/>
        <v>0.30000000000000016</v>
      </c>
      <c r="K14" s="128">
        <f t="shared" si="17"/>
        <v>12</v>
      </c>
      <c r="L14" s="128">
        <f t="shared" si="17"/>
        <v>1.2000000000000002</v>
      </c>
      <c r="M14" s="128">
        <f t="shared" si="17"/>
        <v>-1</v>
      </c>
      <c r="N14" s="128">
        <f t="shared" si="17"/>
        <v>0.19999999999999996</v>
      </c>
      <c r="O14" s="128">
        <f t="shared" si="17"/>
        <v>0.39999999999999991</v>
      </c>
      <c r="P14" s="128">
        <f t="shared" si="17"/>
        <v>0.79999999999999982</v>
      </c>
      <c r="Q14" s="128">
        <f t="shared" si="17"/>
        <v>-1</v>
      </c>
      <c r="R14" s="128">
        <f t="shared" si="17"/>
        <v>2</v>
      </c>
      <c r="S14" s="128">
        <f t="shared" si="17"/>
        <v>-0.70000000000000007</v>
      </c>
      <c r="T14" s="128">
        <f t="shared" si="17"/>
        <v>1</v>
      </c>
      <c r="U14" s="128">
        <f t="shared" si="17"/>
        <v>1.3</v>
      </c>
      <c r="V14" s="128">
        <f t="shared" si="17"/>
        <v>-2.1999999999999997</v>
      </c>
      <c r="W14" s="128">
        <f t="shared" si="17"/>
        <v>-0.6</v>
      </c>
      <c r="X14" s="128">
        <f t="shared" si="17"/>
        <v>-0.2</v>
      </c>
      <c r="Y14" s="128">
        <f t="shared" si="17"/>
        <v>0.5</v>
      </c>
      <c r="Z14" s="128">
        <f t="shared" si="17"/>
        <v>-2.5</v>
      </c>
      <c r="AA14" s="128">
        <f t="shared" si="17"/>
        <v>-1.7</v>
      </c>
      <c r="AB14" s="128">
        <f t="shared" si="17"/>
        <v>2.7</v>
      </c>
      <c r="AC14" s="128">
        <f t="shared" si="17"/>
        <v>-6.6</v>
      </c>
      <c r="AD14" s="128">
        <f t="shared" si="17"/>
        <v>-8.8999999999999986</v>
      </c>
      <c r="AE14" s="128">
        <f t="shared" si="17"/>
        <v>-14.499999999999998</v>
      </c>
      <c r="AF14" s="128">
        <f t="shared" ref="AF14:AG14" si="18">+AF8+AF12</f>
        <v>24.400000000000002</v>
      </c>
      <c r="AG14" s="128">
        <f t="shared" si="18"/>
        <v>8.4000000000000021</v>
      </c>
      <c r="AH14" s="128">
        <f t="shared" ref="AH14:AI14" si="19">+AH8+AH12</f>
        <v>2.6999999999999993</v>
      </c>
      <c r="AI14" s="128">
        <f t="shared" si="19"/>
        <v>31.099999999999998</v>
      </c>
      <c r="AJ14" s="128">
        <f t="shared" ref="AJ14:AK14" si="20">+AJ8+AJ12</f>
        <v>66.599999999999994</v>
      </c>
      <c r="AK14" s="128">
        <f t="shared" si="20"/>
        <v>-6.9999999999999991</v>
      </c>
      <c r="AL14" s="128">
        <f t="shared" ref="AL14:AM14" si="21">+AL8+AL12</f>
        <v>13.599999999999998</v>
      </c>
      <c r="AM14" s="128">
        <f t="shared" si="21"/>
        <v>18.399999999999999</v>
      </c>
      <c r="AN14" s="128">
        <f t="shared" ref="AN14:AO14" si="22">+AN8+AN12</f>
        <v>-20.8</v>
      </c>
      <c r="AO14" s="128">
        <f t="shared" si="22"/>
        <v>4.1999999999999957</v>
      </c>
      <c r="AP14" s="128">
        <f t="shared" ref="AP14:AQ14" si="23">+AP8+AP12</f>
        <v>9.9000000000000021</v>
      </c>
      <c r="AQ14" s="128">
        <f t="shared" si="23"/>
        <v>0.90000000000000013</v>
      </c>
      <c r="AR14" s="128">
        <f t="shared" ref="AR14:AS14" si="24">+AR8+AR12</f>
        <v>-16.899999999999999</v>
      </c>
      <c r="AS14" s="128">
        <f t="shared" si="24"/>
        <v>15.3</v>
      </c>
      <c r="AT14" s="128">
        <f>+AT8+AT12</f>
        <v>9.2000000000000011</v>
      </c>
      <c r="AU14" s="128">
        <f t="shared" ref="AU14:AV14" si="25">+AU8+AU12</f>
        <v>-4.7</v>
      </c>
      <c r="AV14" s="169">
        <f t="shared" si="25"/>
        <v>0</v>
      </c>
    </row>
    <row r="15" spans="1:48" x14ac:dyDescent="0.25">
      <c r="A15" s="124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68"/>
    </row>
    <row r="16" spans="1:48" x14ac:dyDescent="0.25">
      <c r="A16" s="120" t="s">
        <v>71</v>
      </c>
      <c r="B16" s="121">
        <f t="shared" ref="B16:AE16" si="26">+B14+B3</f>
        <v>4.4000000000000101</v>
      </c>
      <c r="C16" s="121">
        <f t="shared" si="26"/>
        <v>1.4999999999999947</v>
      </c>
      <c r="D16" s="121">
        <f t="shared" si="26"/>
        <v>-8.1000000000000032</v>
      </c>
      <c r="E16" s="121">
        <f t="shared" si="26"/>
        <v>-118.60000000000002</v>
      </c>
      <c r="F16" s="121">
        <f t="shared" si="26"/>
        <v>-120.79999999999995</v>
      </c>
      <c r="G16" s="121">
        <f t="shared" si="26"/>
        <v>-9.9000000000000163</v>
      </c>
      <c r="H16" s="121">
        <f t="shared" si="26"/>
        <v>8.800000000000022</v>
      </c>
      <c r="I16" s="121">
        <f t="shared" si="26"/>
        <v>6.7999999999999829</v>
      </c>
      <c r="J16" s="121">
        <f t="shared" si="26"/>
        <v>47.500000000000007</v>
      </c>
      <c r="K16" s="121">
        <f t="shared" si="26"/>
        <v>53.200000000000024</v>
      </c>
      <c r="L16" s="121">
        <f t="shared" si="26"/>
        <v>19.299999999999983</v>
      </c>
      <c r="M16" s="121">
        <f t="shared" si="26"/>
        <v>-8.5000000000000071</v>
      </c>
      <c r="N16" s="121">
        <f t="shared" si="26"/>
        <v>15.800000000000011</v>
      </c>
      <c r="O16" s="121">
        <f t="shared" si="26"/>
        <v>10.700000000000014</v>
      </c>
      <c r="P16" s="121">
        <f t="shared" si="26"/>
        <v>37.300000000000068</v>
      </c>
      <c r="Q16" s="121">
        <f t="shared" si="26"/>
        <v>35.6</v>
      </c>
      <c r="R16" s="121">
        <f t="shared" si="26"/>
        <v>31.400000000000041</v>
      </c>
      <c r="S16" s="121">
        <f t="shared" si="26"/>
        <v>8.7999999999999812</v>
      </c>
      <c r="T16" s="121">
        <f t="shared" si="26"/>
        <v>31.600000000000026</v>
      </c>
      <c r="U16" s="121">
        <f t="shared" si="26"/>
        <v>107.40000000000011</v>
      </c>
      <c r="V16" s="121">
        <f t="shared" si="26"/>
        <v>-275.80000000000007</v>
      </c>
      <c r="W16" s="121">
        <f t="shared" si="26"/>
        <v>29.100000000000005</v>
      </c>
      <c r="X16" s="121">
        <f t="shared" si="26"/>
        <v>14.399999999999997</v>
      </c>
      <c r="Y16" s="121">
        <f t="shared" si="26"/>
        <v>-42.499999999999986</v>
      </c>
      <c r="Z16" s="121">
        <f t="shared" si="26"/>
        <v>-274.80000000000013</v>
      </c>
      <c r="AA16" s="121">
        <f t="shared" si="26"/>
        <v>95.500000000000014</v>
      </c>
      <c r="AB16" s="121">
        <f t="shared" si="26"/>
        <v>8.600000000000005</v>
      </c>
      <c r="AC16" s="121">
        <f t="shared" si="26"/>
        <v>-1.4000000000000101</v>
      </c>
      <c r="AD16" s="121">
        <f t="shared" si="26"/>
        <v>-54.999999999999993</v>
      </c>
      <c r="AE16" s="121">
        <f t="shared" si="26"/>
        <v>47.700000000000017</v>
      </c>
      <c r="AF16" s="121">
        <f t="shared" ref="AF16:AG16" si="27">+AF14+AF3</f>
        <v>70.699999999999989</v>
      </c>
      <c r="AG16" s="121">
        <f t="shared" si="27"/>
        <v>20.70000000000001</v>
      </c>
      <c r="AH16" s="121">
        <f t="shared" ref="AH16:AI16" si="28">+AH14+AH3</f>
        <v>32.300000000000011</v>
      </c>
      <c r="AI16" s="121">
        <f t="shared" si="28"/>
        <v>72.399999999999991</v>
      </c>
      <c r="AJ16" s="121">
        <f t="shared" ref="AJ16:AK16" si="29">+AJ14+AJ3</f>
        <v>196.09999999999985</v>
      </c>
      <c r="AK16" s="121">
        <f t="shared" si="29"/>
        <v>10.800000000000015</v>
      </c>
      <c r="AL16" s="121">
        <f t="shared" ref="AL16:AP16" si="30">+AL14+AL3</f>
        <v>24.499999999999986</v>
      </c>
      <c r="AM16" s="121">
        <f t="shared" si="30"/>
        <v>47.3</v>
      </c>
      <c r="AN16" s="121">
        <f t="shared" si="30"/>
        <v>19.200000000000014</v>
      </c>
      <c r="AO16" s="121">
        <f t="shared" si="30"/>
        <v>101.79999999999993</v>
      </c>
      <c r="AP16" s="121">
        <f t="shared" si="30"/>
        <v>46.7</v>
      </c>
      <c r="AQ16" s="121">
        <f t="shared" ref="AQ16" si="31">+AQ14+AQ3</f>
        <v>30.100000000000005</v>
      </c>
      <c r="AR16" s="121">
        <f t="shared" ref="AR16" si="32">+AR14+AR3</f>
        <v>-3.8999999999999986</v>
      </c>
      <c r="AS16" s="121">
        <f>+AS14+AS3</f>
        <v>56.099999999999994</v>
      </c>
      <c r="AT16" s="121">
        <f>+AT14+AT3</f>
        <v>129</v>
      </c>
      <c r="AU16" s="121">
        <f t="shared" ref="AU16:AV16" si="33">+AU14+AU3</f>
        <v>57.5</v>
      </c>
      <c r="AV16" s="165">
        <f t="shared" si="33"/>
        <v>24.6</v>
      </c>
    </row>
    <row r="17" spans="1:48" x14ac:dyDescent="0.25">
      <c r="A17" s="125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26"/>
      <c r="AV17" s="164"/>
    </row>
    <row r="18" spans="1:48" x14ac:dyDescent="0.25">
      <c r="A18" s="123" t="s">
        <v>57</v>
      </c>
      <c r="B18" s="126">
        <f t="shared" ref="B18" si="34">+B16-B19</f>
        <v>4.4000000000000101</v>
      </c>
      <c r="C18" s="126">
        <f t="shared" ref="C18:AD18" si="35">+C16-C19</f>
        <v>1.4999999999999947</v>
      </c>
      <c r="D18" s="126">
        <f t="shared" si="35"/>
        <v>-8.1000000000000032</v>
      </c>
      <c r="E18" s="126">
        <f t="shared" si="35"/>
        <v>-118.60000000000002</v>
      </c>
      <c r="F18" s="126">
        <f t="shared" si="35"/>
        <v>-120.79999999999995</v>
      </c>
      <c r="G18" s="126">
        <f t="shared" si="35"/>
        <v>-9.9000000000000163</v>
      </c>
      <c r="H18" s="126">
        <f t="shared" si="35"/>
        <v>9.0000000000000213</v>
      </c>
      <c r="I18" s="126">
        <f t="shared" si="35"/>
        <v>6.8999999999999826</v>
      </c>
      <c r="J18" s="126">
        <f t="shared" si="35"/>
        <v>45.800000000000004</v>
      </c>
      <c r="K18" s="126">
        <f t="shared" si="35"/>
        <v>51.800000000000026</v>
      </c>
      <c r="L18" s="126">
        <f t="shared" si="35"/>
        <v>16.099999999999984</v>
      </c>
      <c r="M18" s="126">
        <f t="shared" si="35"/>
        <v>-11.700000000000006</v>
      </c>
      <c r="N18" s="126">
        <f t="shared" si="35"/>
        <v>11.400000000000011</v>
      </c>
      <c r="O18" s="126">
        <f t="shared" si="35"/>
        <v>8.1000000000000139</v>
      </c>
      <c r="P18" s="126">
        <f t="shared" si="35"/>
        <v>23.90000000000007</v>
      </c>
      <c r="Q18" s="126">
        <f t="shared" si="35"/>
        <v>24.3</v>
      </c>
      <c r="R18" s="126">
        <f t="shared" si="35"/>
        <v>25.400000000000041</v>
      </c>
      <c r="S18" s="126">
        <f t="shared" si="35"/>
        <v>3.3999999999999808</v>
      </c>
      <c r="T18" s="126">
        <f t="shared" si="35"/>
        <v>21.400000000000027</v>
      </c>
      <c r="U18" s="126">
        <f t="shared" si="35"/>
        <v>74.500000000000099</v>
      </c>
      <c r="V18" s="126">
        <f t="shared" si="35"/>
        <v>-278.30000000000007</v>
      </c>
      <c r="W18" s="126">
        <f t="shared" si="35"/>
        <v>26.600000000000005</v>
      </c>
      <c r="X18" s="126">
        <f t="shared" si="35"/>
        <v>11.899999999999997</v>
      </c>
      <c r="Y18" s="126">
        <f t="shared" si="35"/>
        <v>-44.899999999999984</v>
      </c>
      <c r="Z18" s="126">
        <f t="shared" si="35"/>
        <v>-284.7000000000001</v>
      </c>
      <c r="AA18" s="126">
        <f t="shared" si="35"/>
        <v>94.700000000000017</v>
      </c>
      <c r="AB18" s="126">
        <f t="shared" si="35"/>
        <v>8.0000000000000053</v>
      </c>
      <c r="AC18" s="126">
        <f t="shared" si="35"/>
        <v>0.49999999999998979</v>
      </c>
      <c r="AD18" s="126">
        <f t="shared" si="35"/>
        <v>-52.899999999999991</v>
      </c>
      <c r="AE18" s="126">
        <f>+AE16-AE19</f>
        <v>50.300000000000018</v>
      </c>
      <c r="AF18" s="126">
        <f>+AF16-AF19</f>
        <v>73.199999999999989</v>
      </c>
      <c r="AG18" s="126">
        <v>25.5</v>
      </c>
      <c r="AH18" s="126">
        <v>37.5</v>
      </c>
      <c r="AI18" s="126">
        <f t="shared" ref="AI18:AL18" si="36">+AI16-AI19</f>
        <v>64.3</v>
      </c>
      <c r="AJ18" s="126">
        <f t="shared" si="36"/>
        <v>200.49999999999986</v>
      </c>
      <c r="AK18" s="126">
        <f t="shared" si="36"/>
        <v>10.700000000000015</v>
      </c>
      <c r="AL18" s="126">
        <f t="shared" si="36"/>
        <v>25.099999999999987</v>
      </c>
      <c r="AM18" s="126">
        <v>49.9</v>
      </c>
      <c r="AN18" s="126">
        <v>18.5</v>
      </c>
      <c r="AO18" s="126">
        <f>SUM(AK18:AN18)</f>
        <v>104.2</v>
      </c>
      <c r="AP18" s="126">
        <v>48.2</v>
      </c>
      <c r="AQ18" s="126">
        <v>30.5</v>
      </c>
      <c r="AR18" s="126">
        <v>-5.3</v>
      </c>
      <c r="AS18" s="126">
        <v>59.8</v>
      </c>
      <c r="AT18" s="116">
        <f>SUM(AP18:AS18)</f>
        <v>133.19999999999999</v>
      </c>
      <c r="AU18" s="116">
        <v>54.8</v>
      </c>
      <c r="AV18" s="162">
        <v>20.6</v>
      </c>
    </row>
    <row r="19" spans="1:48" s="131" customFormat="1" x14ac:dyDescent="0.25">
      <c r="A19" s="123" t="s">
        <v>58</v>
      </c>
      <c r="B19" s="129">
        <v>0</v>
      </c>
      <c r="C19" s="129">
        <v>0</v>
      </c>
      <c r="D19" s="129">
        <v>0</v>
      </c>
      <c r="E19" s="129">
        <v>0</v>
      </c>
      <c r="F19" s="129">
        <v>0</v>
      </c>
      <c r="G19" s="129">
        <v>0</v>
      </c>
      <c r="H19" s="126">
        <v>-0.2</v>
      </c>
      <c r="I19" s="126">
        <v>-0.1</v>
      </c>
      <c r="J19" s="129">
        <v>1.7</v>
      </c>
      <c r="K19" s="129">
        <f>SUM(H19:J19)</f>
        <v>1.4</v>
      </c>
      <c r="L19" s="129">
        <v>3.2</v>
      </c>
      <c r="M19" s="129">
        <v>3.2</v>
      </c>
      <c r="N19" s="129">
        <v>4.4000000000000004</v>
      </c>
      <c r="O19" s="129">
        <v>2.6</v>
      </c>
      <c r="P19" s="129">
        <f>SUM(L19:O19)</f>
        <v>13.4</v>
      </c>
      <c r="Q19" s="129">
        <v>11.3</v>
      </c>
      <c r="R19" s="129">
        <v>6</v>
      </c>
      <c r="S19" s="129">
        <v>5.4</v>
      </c>
      <c r="T19" s="129">
        <v>10.199999999999999</v>
      </c>
      <c r="U19" s="129">
        <f>SUM(Q19:T19)</f>
        <v>32.900000000000006</v>
      </c>
      <c r="V19" s="129">
        <v>2.5</v>
      </c>
      <c r="W19" s="129">
        <v>2.5</v>
      </c>
      <c r="X19" s="129">
        <v>2.5</v>
      </c>
      <c r="Y19" s="129">
        <v>2.4</v>
      </c>
      <c r="Z19" s="129">
        <f>SUM(V19:Y19)</f>
        <v>9.9</v>
      </c>
      <c r="AA19" s="126">
        <v>0.8</v>
      </c>
      <c r="AB19" s="126">
        <v>0.6</v>
      </c>
      <c r="AC19" s="126">
        <v>-1.9</v>
      </c>
      <c r="AD19" s="126">
        <v>-2.1</v>
      </c>
      <c r="AE19" s="126">
        <v>-2.6</v>
      </c>
      <c r="AF19" s="126">
        <v>-2.5</v>
      </c>
      <c r="AG19" s="126">
        <v>-4.8</v>
      </c>
      <c r="AH19" s="126">
        <v>-5.2</v>
      </c>
      <c r="AI19" s="126">
        <v>8.1</v>
      </c>
      <c r="AJ19" s="126">
        <f>SUM(AF19:AI19)</f>
        <v>-4.4000000000000004</v>
      </c>
      <c r="AK19" s="126">
        <v>0.1</v>
      </c>
      <c r="AL19" s="126">
        <f>-0.2-0.4</f>
        <v>-0.60000000000000009</v>
      </c>
      <c r="AM19" s="126">
        <v>-2.6</v>
      </c>
      <c r="AN19" s="126">
        <v>0.7</v>
      </c>
      <c r="AO19" s="126">
        <v>-2.4</v>
      </c>
      <c r="AP19" s="126">
        <v>-1.5</v>
      </c>
      <c r="AQ19" s="126">
        <v>-0.4</v>
      </c>
      <c r="AR19" s="126">
        <v>1.4</v>
      </c>
      <c r="AS19" s="126">
        <v>-3.7</v>
      </c>
      <c r="AT19" s="116">
        <f>SUM(AP19:AS19)</f>
        <v>-4.2</v>
      </c>
      <c r="AU19" s="116">
        <v>2.7</v>
      </c>
      <c r="AV19" s="162">
        <v>4</v>
      </c>
    </row>
    <row r="20" spans="1:48" x14ac:dyDescent="0.25"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L20" s="116"/>
      <c r="AM20" s="116"/>
      <c r="AQ20" s="116"/>
    </row>
  </sheetData>
  <pageMargins left="0.7" right="0.7" top="0.75" bottom="0.75" header="0.3" footer="0.3"/>
  <pageSetup paperSize="9" orientation="landscape" r:id="rId1"/>
  <ignoredErrors>
    <ignoredError sqref="AJ5:AJ10 AT10 AT19" formulaRange="1"/>
    <ignoredError sqref="AO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A1:AR55"/>
  <sheetViews>
    <sheetView showGridLines="0" topLeftCell="A11" zoomScaleNormal="100" workbookViewId="0">
      <selection activeCell="AJ1" sqref="AJ1:AJ1048576"/>
    </sheetView>
  </sheetViews>
  <sheetFormatPr defaultColWidth="8.85546875" defaultRowHeight="13.5" customHeight="1" x14ac:dyDescent="0.2"/>
  <cols>
    <col min="1" max="1" width="41.28515625" style="41" customWidth="1"/>
    <col min="2" max="2" width="11.28515625" style="41" hidden="1" customWidth="1"/>
    <col min="3" max="30" width="10.85546875" style="41" hidden="1" customWidth="1"/>
    <col min="31" max="40" width="10.85546875" style="41" customWidth="1"/>
    <col min="41" max="235" width="8.85546875" style="41"/>
    <col min="236" max="236" width="42" style="41" customWidth="1"/>
    <col min="237" max="237" width="6.42578125" style="41" customWidth="1"/>
    <col min="238" max="240" width="10.28515625" style="41" customWidth="1"/>
    <col min="241" max="241" width="0" style="41" hidden="1" customWidth="1"/>
    <col min="242" max="242" width="10.28515625" style="41" customWidth="1"/>
    <col min="243" max="491" width="8.85546875" style="41"/>
    <col min="492" max="492" width="42" style="41" customWidth="1"/>
    <col min="493" max="493" width="6.42578125" style="41" customWidth="1"/>
    <col min="494" max="496" width="10.28515625" style="41" customWidth="1"/>
    <col min="497" max="497" width="0" style="41" hidden="1" customWidth="1"/>
    <col min="498" max="498" width="10.28515625" style="41" customWidth="1"/>
    <col min="499" max="747" width="8.85546875" style="41"/>
    <col min="748" max="748" width="42" style="41" customWidth="1"/>
    <col min="749" max="749" width="6.42578125" style="41" customWidth="1"/>
    <col min="750" max="752" width="10.28515625" style="41" customWidth="1"/>
    <col min="753" max="753" width="0" style="41" hidden="1" customWidth="1"/>
    <col min="754" max="754" width="10.28515625" style="41" customWidth="1"/>
    <col min="755" max="1003" width="8.85546875" style="41"/>
    <col min="1004" max="1004" width="42" style="41" customWidth="1"/>
    <col min="1005" max="1005" width="6.42578125" style="41" customWidth="1"/>
    <col min="1006" max="1008" width="10.28515625" style="41" customWidth="1"/>
    <col min="1009" max="1009" width="0" style="41" hidden="1" customWidth="1"/>
    <col min="1010" max="1010" width="10.28515625" style="41" customWidth="1"/>
    <col min="1011" max="1259" width="8.85546875" style="41"/>
    <col min="1260" max="1260" width="42" style="41" customWidth="1"/>
    <col min="1261" max="1261" width="6.42578125" style="41" customWidth="1"/>
    <col min="1262" max="1264" width="10.28515625" style="41" customWidth="1"/>
    <col min="1265" max="1265" width="0" style="41" hidden="1" customWidth="1"/>
    <col min="1266" max="1266" width="10.28515625" style="41" customWidth="1"/>
    <col min="1267" max="1515" width="8.85546875" style="41"/>
    <col min="1516" max="1516" width="42" style="41" customWidth="1"/>
    <col min="1517" max="1517" width="6.42578125" style="41" customWidth="1"/>
    <col min="1518" max="1520" width="10.28515625" style="41" customWidth="1"/>
    <col min="1521" max="1521" width="0" style="41" hidden="1" customWidth="1"/>
    <col min="1522" max="1522" width="10.28515625" style="41" customWidth="1"/>
    <col min="1523" max="1771" width="8.85546875" style="41"/>
    <col min="1772" max="1772" width="42" style="41" customWidth="1"/>
    <col min="1773" max="1773" width="6.42578125" style="41" customWidth="1"/>
    <col min="1774" max="1776" width="10.28515625" style="41" customWidth="1"/>
    <col min="1777" max="1777" width="0" style="41" hidden="1" customWidth="1"/>
    <col min="1778" max="1778" width="10.28515625" style="41" customWidth="1"/>
    <col min="1779" max="2027" width="8.85546875" style="41"/>
    <col min="2028" max="2028" width="42" style="41" customWidth="1"/>
    <col min="2029" max="2029" width="6.42578125" style="41" customWidth="1"/>
    <col min="2030" max="2032" width="10.28515625" style="41" customWidth="1"/>
    <col min="2033" max="2033" width="0" style="41" hidden="1" customWidth="1"/>
    <col min="2034" max="2034" width="10.28515625" style="41" customWidth="1"/>
    <col min="2035" max="2283" width="8.85546875" style="41"/>
    <col min="2284" max="2284" width="42" style="41" customWidth="1"/>
    <col min="2285" max="2285" width="6.42578125" style="41" customWidth="1"/>
    <col min="2286" max="2288" width="10.28515625" style="41" customWidth="1"/>
    <col min="2289" max="2289" width="0" style="41" hidden="1" customWidth="1"/>
    <col min="2290" max="2290" width="10.28515625" style="41" customWidth="1"/>
    <col min="2291" max="2539" width="8.85546875" style="41"/>
    <col min="2540" max="2540" width="42" style="41" customWidth="1"/>
    <col min="2541" max="2541" width="6.42578125" style="41" customWidth="1"/>
    <col min="2542" max="2544" width="10.28515625" style="41" customWidth="1"/>
    <col min="2545" max="2545" width="0" style="41" hidden="1" customWidth="1"/>
    <col min="2546" max="2546" width="10.28515625" style="41" customWidth="1"/>
    <col min="2547" max="2795" width="8.85546875" style="41"/>
    <col min="2796" max="2796" width="42" style="41" customWidth="1"/>
    <col min="2797" max="2797" width="6.42578125" style="41" customWidth="1"/>
    <col min="2798" max="2800" width="10.28515625" style="41" customWidth="1"/>
    <col min="2801" max="2801" width="0" style="41" hidden="1" customWidth="1"/>
    <col min="2802" max="2802" width="10.28515625" style="41" customWidth="1"/>
    <col min="2803" max="3051" width="8.85546875" style="41"/>
    <col min="3052" max="3052" width="42" style="41" customWidth="1"/>
    <col min="3053" max="3053" width="6.42578125" style="41" customWidth="1"/>
    <col min="3054" max="3056" width="10.28515625" style="41" customWidth="1"/>
    <col min="3057" max="3057" width="0" style="41" hidden="1" customWidth="1"/>
    <col min="3058" max="3058" width="10.28515625" style="41" customWidth="1"/>
    <col min="3059" max="3307" width="8.85546875" style="41"/>
    <col min="3308" max="3308" width="42" style="41" customWidth="1"/>
    <col min="3309" max="3309" width="6.42578125" style="41" customWidth="1"/>
    <col min="3310" max="3312" width="10.28515625" style="41" customWidth="1"/>
    <col min="3313" max="3313" width="0" style="41" hidden="1" customWidth="1"/>
    <col min="3314" max="3314" width="10.28515625" style="41" customWidth="1"/>
    <col min="3315" max="3563" width="8.85546875" style="41"/>
    <col min="3564" max="3564" width="42" style="41" customWidth="1"/>
    <col min="3565" max="3565" width="6.42578125" style="41" customWidth="1"/>
    <col min="3566" max="3568" width="10.28515625" style="41" customWidth="1"/>
    <col min="3569" max="3569" width="0" style="41" hidden="1" customWidth="1"/>
    <col min="3570" max="3570" width="10.28515625" style="41" customWidth="1"/>
    <col min="3571" max="3819" width="8.85546875" style="41"/>
    <col min="3820" max="3820" width="42" style="41" customWidth="1"/>
    <col min="3821" max="3821" width="6.42578125" style="41" customWidth="1"/>
    <col min="3822" max="3824" width="10.28515625" style="41" customWidth="1"/>
    <col min="3825" max="3825" width="0" style="41" hidden="1" customWidth="1"/>
    <col min="3826" max="3826" width="10.28515625" style="41" customWidth="1"/>
    <col min="3827" max="4075" width="8.85546875" style="41"/>
    <col min="4076" max="4076" width="42" style="41" customWidth="1"/>
    <col min="4077" max="4077" width="6.42578125" style="41" customWidth="1"/>
    <col min="4078" max="4080" width="10.28515625" style="41" customWidth="1"/>
    <col min="4081" max="4081" width="0" style="41" hidden="1" customWidth="1"/>
    <col min="4082" max="4082" width="10.28515625" style="41" customWidth="1"/>
    <col min="4083" max="4331" width="8.85546875" style="41"/>
    <col min="4332" max="4332" width="42" style="41" customWidth="1"/>
    <col min="4333" max="4333" width="6.42578125" style="41" customWidth="1"/>
    <col min="4334" max="4336" width="10.28515625" style="41" customWidth="1"/>
    <col min="4337" max="4337" width="0" style="41" hidden="1" customWidth="1"/>
    <col min="4338" max="4338" width="10.28515625" style="41" customWidth="1"/>
    <col min="4339" max="4587" width="8.85546875" style="41"/>
    <col min="4588" max="4588" width="42" style="41" customWidth="1"/>
    <col min="4589" max="4589" width="6.42578125" style="41" customWidth="1"/>
    <col min="4590" max="4592" width="10.28515625" style="41" customWidth="1"/>
    <col min="4593" max="4593" width="0" style="41" hidden="1" customWidth="1"/>
    <col min="4594" max="4594" width="10.28515625" style="41" customWidth="1"/>
    <col min="4595" max="4843" width="8.85546875" style="41"/>
    <col min="4844" max="4844" width="42" style="41" customWidth="1"/>
    <col min="4845" max="4845" width="6.42578125" style="41" customWidth="1"/>
    <col min="4846" max="4848" width="10.28515625" style="41" customWidth="1"/>
    <col min="4849" max="4849" width="0" style="41" hidden="1" customWidth="1"/>
    <col min="4850" max="4850" width="10.28515625" style="41" customWidth="1"/>
    <col min="4851" max="5099" width="8.85546875" style="41"/>
    <col min="5100" max="5100" width="42" style="41" customWidth="1"/>
    <col min="5101" max="5101" width="6.42578125" style="41" customWidth="1"/>
    <col min="5102" max="5104" width="10.28515625" style="41" customWidth="1"/>
    <col min="5105" max="5105" width="0" style="41" hidden="1" customWidth="1"/>
    <col min="5106" max="5106" width="10.28515625" style="41" customWidth="1"/>
    <col min="5107" max="5355" width="8.85546875" style="41"/>
    <col min="5356" max="5356" width="42" style="41" customWidth="1"/>
    <col min="5357" max="5357" width="6.42578125" style="41" customWidth="1"/>
    <col min="5358" max="5360" width="10.28515625" style="41" customWidth="1"/>
    <col min="5361" max="5361" width="0" style="41" hidden="1" customWidth="1"/>
    <col min="5362" max="5362" width="10.28515625" style="41" customWidth="1"/>
    <col min="5363" max="5611" width="8.85546875" style="41"/>
    <col min="5612" max="5612" width="42" style="41" customWidth="1"/>
    <col min="5613" max="5613" width="6.42578125" style="41" customWidth="1"/>
    <col min="5614" max="5616" width="10.28515625" style="41" customWidth="1"/>
    <col min="5617" max="5617" width="0" style="41" hidden="1" customWidth="1"/>
    <col min="5618" max="5618" width="10.28515625" style="41" customWidth="1"/>
    <col min="5619" max="5867" width="8.85546875" style="41"/>
    <col min="5868" max="5868" width="42" style="41" customWidth="1"/>
    <col min="5869" max="5869" width="6.42578125" style="41" customWidth="1"/>
    <col min="5870" max="5872" width="10.28515625" style="41" customWidth="1"/>
    <col min="5873" max="5873" width="0" style="41" hidden="1" customWidth="1"/>
    <col min="5874" max="5874" width="10.28515625" style="41" customWidth="1"/>
    <col min="5875" max="6123" width="8.85546875" style="41"/>
    <col min="6124" max="6124" width="42" style="41" customWidth="1"/>
    <col min="6125" max="6125" width="6.42578125" style="41" customWidth="1"/>
    <col min="6126" max="6128" width="10.28515625" style="41" customWidth="1"/>
    <col min="6129" max="6129" width="0" style="41" hidden="1" customWidth="1"/>
    <col min="6130" max="6130" width="10.28515625" style="41" customWidth="1"/>
    <col min="6131" max="6379" width="8.85546875" style="41"/>
    <col min="6380" max="6380" width="42" style="41" customWidth="1"/>
    <col min="6381" max="6381" width="6.42578125" style="41" customWidth="1"/>
    <col min="6382" max="6384" width="10.28515625" style="41" customWidth="1"/>
    <col min="6385" max="6385" width="0" style="41" hidden="1" customWidth="1"/>
    <col min="6386" max="6386" width="10.28515625" style="41" customWidth="1"/>
    <col min="6387" max="6635" width="8.85546875" style="41"/>
    <col min="6636" max="6636" width="42" style="41" customWidth="1"/>
    <col min="6637" max="6637" width="6.42578125" style="41" customWidth="1"/>
    <col min="6638" max="6640" width="10.28515625" style="41" customWidth="1"/>
    <col min="6641" max="6641" width="0" style="41" hidden="1" customWidth="1"/>
    <col min="6642" max="6642" width="10.28515625" style="41" customWidth="1"/>
    <col min="6643" max="6891" width="8.85546875" style="41"/>
    <col min="6892" max="6892" width="42" style="41" customWidth="1"/>
    <col min="6893" max="6893" width="6.42578125" style="41" customWidth="1"/>
    <col min="6894" max="6896" width="10.28515625" style="41" customWidth="1"/>
    <col min="6897" max="6897" width="0" style="41" hidden="1" customWidth="1"/>
    <col min="6898" max="6898" width="10.28515625" style="41" customWidth="1"/>
    <col min="6899" max="7147" width="8.85546875" style="41"/>
    <col min="7148" max="7148" width="42" style="41" customWidth="1"/>
    <col min="7149" max="7149" width="6.42578125" style="41" customWidth="1"/>
    <col min="7150" max="7152" width="10.28515625" style="41" customWidth="1"/>
    <col min="7153" max="7153" width="0" style="41" hidden="1" customWidth="1"/>
    <col min="7154" max="7154" width="10.28515625" style="41" customWidth="1"/>
    <col min="7155" max="7403" width="8.85546875" style="41"/>
    <col min="7404" max="7404" width="42" style="41" customWidth="1"/>
    <col min="7405" max="7405" width="6.42578125" style="41" customWidth="1"/>
    <col min="7406" max="7408" width="10.28515625" style="41" customWidth="1"/>
    <col min="7409" max="7409" width="0" style="41" hidden="1" customWidth="1"/>
    <col min="7410" max="7410" width="10.28515625" style="41" customWidth="1"/>
    <col min="7411" max="7659" width="8.85546875" style="41"/>
    <col min="7660" max="7660" width="42" style="41" customWidth="1"/>
    <col min="7661" max="7661" width="6.42578125" style="41" customWidth="1"/>
    <col min="7662" max="7664" width="10.28515625" style="41" customWidth="1"/>
    <col min="7665" max="7665" width="0" style="41" hidden="1" customWidth="1"/>
    <col min="7666" max="7666" width="10.28515625" style="41" customWidth="1"/>
    <col min="7667" max="7915" width="8.85546875" style="41"/>
    <col min="7916" max="7916" width="42" style="41" customWidth="1"/>
    <col min="7917" max="7917" width="6.42578125" style="41" customWidth="1"/>
    <col min="7918" max="7920" width="10.28515625" style="41" customWidth="1"/>
    <col min="7921" max="7921" width="0" style="41" hidden="1" customWidth="1"/>
    <col min="7922" max="7922" width="10.28515625" style="41" customWidth="1"/>
    <col min="7923" max="8171" width="8.85546875" style="41"/>
    <col min="8172" max="8172" width="42" style="41" customWidth="1"/>
    <col min="8173" max="8173" width="6.42578125" style="41" customWidth="1"/>
    <col min="8174" max="8176" width="10.28515625" style="41" customWidth="1"/>
    <col min="8177" max="8177" width="0" style="41" hidden="1" customWidth="1"/>
    <col min="8178" max="8178" width="10.28515625" style="41" customWidth="1"/>
    <col min="8179" max="8427" width="8.85546875" style="41"/>
    <col min="8428" max="8428" width="42" style="41" customWidth="1"/>
    <col min="8429" max="8429" width="6.42578125" style="41" customWidth="1"/>
    <col min="8430" max="8432" width="10.28515625" style="41" customWidth="1"/>
    <col min="8433" max="8433" width="0" style="41" hidden="1" customWidth="1"/>
    <col min="8434" max="8434" width="10.28515625" style="41" customWidth="1"/>
    <col min="8435" max="8683" width="8.85546875" style="41"/>
    <col min="8684" max="8684" width="42" style="41" customWidth="1"/>
    <col min="8685" max="8685" width="6.42578125" style="41" customWidth="1"/>
    <col min="8686" max="8688" width="10.28515625" style="41" customWidth="1"/>
    <col min="8689" max="8689" width="0" style="41" hidden="1" customWidth="1"/>
    <col min="8690" max="8690" width="10.28515625" style="41" customWidth="1"/>
    <col min="8691" max="8939" width="8.85546875" style="41"/>
    <col min="8940" max="8940" width="42" style="41" customWidth="1"/>
    <col min="8941" max="8941" width="6.42578125" style="41" customWidth="1"/>
    <col min="8942" max="8944" width="10.28515625" style="41" customWidth="1"/>
    <col min="8945" max="8945" width="0" style="41" hidden="1" customWidth="1"/>
    <col min="8946" max="8946" width="10.28515625" style="41" customWidth="1"/>
    <col min="8947" max="9195" width="8.85546875" style="41"/>
    <col min="9196" max="9196" width="42" style="41" customWidth="1"/>
    <col min="9197" max="9197" width="6.42578125" style="41" customWidth="1"/>
    <col min="9198" max="9200" width="10.28515625" style="41" customWidth="1"/>
    <col min="9201" max="9201" width="0" style="41" hidden="1" customWidth="1"/>
    <col min="9202" max="9202" width="10.28515625" style="41" customWidth="1"/>
    <col min="9203" max="9451" width="8.85546875" style="41"/>
    <col min="9452" max="9452" width="42" style="41" customWidth="1"/>
    <col min="9453" max="9453" width="6.42578125" style="41" customWidth="1"/>
    <col min="9454" max="9456" width="10.28515625" style="41" customWidth="1"/>
    <col min="9457" max="9457" width="0" style="41" hidden="1" customWidth="1"/>
    <col min="9458" max="9458" width="10.28515625" style="41" customWidth="1"/>
    <col min="9459" max="9707" width="8.85546875" style="41"/>
    <col min="9708" max="9708" width="42" style="41" customWidth="1"/>
    <col min="9709" max="9709" width="6.42578125" style="41" customWidth="1"/>
    <col min="9710" max="9712" width="10.28515625" style="41" customWidth="1"/>
    <col min="9713" max="9713" width="0" style="41" hidden="1" customWidth="1"/>
    <col min="9714" max="9714" width="10.28515625" style="41" customWidth="1"/>
    <col min="9715" max="9963" width="8.85546875" style="41"/>
    <col min="9964" max="9964" width="42" style="41" customWidth="1"/>
    <col min="9965" max="9965" width="6.42578125" style="41" customWidth="1"/>
    <col min="9966" max="9968" width="10.28515625" style="41" customWidth="1"/>
    <col min="9969" max="9969" width="0" style="41" hidden="1" customWidth="1"/>
    <col min="9970" max="9970" width="10.28515625" style="41" customWidth="1"/>
    <col min="9971" max="10219" width="8.85546875" style="41"/>
    <col min="10220" max="10220" width="42" style="41" customWidth="1"/>
    <col min="10221" max="10221" width="6.42578125" style="41" customWidth="1"/>
    <col min="10222" max="10224" width="10.28515625" style="41" customWidth="1"/>
    <col min="10225" max="10225" width="0" style="41" hidden="1" customWidth="1"/>
    <col min="10226" max="10226" width="10.28515625" style="41" customWidth="1"/>
    <col min="10227" max="10475" width="8.85546875" style="41"/>
    <col min="10476" max="10476" width="42" style="41" customWidth="1"/>
    <col min="10477" max="10477" width="6.42578125" style="41" customWidth="1"/>
    <col min="10478" max="10480" width="10.28515625" style="41" customWidth="1"/>
    <col min="10481" max="10481" width="0" style="41" hidden="1" customWidth="1"/>
    <col min="10482" max="10482" width="10.28515625" style="41" customWidth="1"/>
    <col min="10483" max="10731" width="8.85546875" style="41"/>
    <col min="10732" max="10732" width="42" style="41" customWidth="1"/>
    <col min="10733" max="10733" width="6.42578125" style="41" customWidth="1"/>
    <col min="10734" max="10736" width="10.28515625" style="41" customWidth="1"/>
    <col min="10737" max="10737" width="0" style="41" hidden="1" customWidth="1"/>
    <col min="10738" max="10738" width="10.28515625" style="41" customWidth="1"/>
    <col min="10739" max="10987" width="8.85546875" style="41"/>
    <col min="10988" max="10988" width="42" style="41" customWidth="1"/>
    <col min="10989" max="10989" width="6.42578125" style="41" customWidth="1"/>
    <col min="10990" max="10992" width="10.28515625" style="41" customWidth="1"/>
    <col min="10993" max="10993" width="0" style="41" hidden="1" customWidth="1"/>
    <col min="10994" max="10994" width="10.28515625" style="41" customWidth="1"/>
    <col min="10995" max="11243" width="8.85546875" style="41"/>
    <col min="11244" max="11244" width="42" style="41" customWidth="1"/>
    <col min="11245" max="11245" width="6.42578125" style="41" customWidth="1"/>
    <col min="11246" max="11248" width="10.28515625" style="41" customWidth="1"/>
    <col min="11249" max="11249" width="0" style="41" hidden="1" customWidth="1"/>
    <col min="11250" max="11250" width="10.28515625" style="41" customWidth="1"/>
    <col min="11251" max="11499" width="8.85546875" style="41"/>
    <col min="11500" max="11500" width="42" style="41" customWidth="1"/>
    <col min="11501" max="11501" width="6.42578125" style="41" customWidth="1"/>
    <col min="11502" max="11504" width="10.28515625" style="41" customWidth="1"/>
    <col min="11505" max="11505" width="0" style="41" hidden="1" customWidth="1"/>
    <col min="11506" max="11506" width="10.28515625" style="41" customWidth="1"/>
    <col min="11507" max="11755" width="8.85546875" style="41"/>
    <col min="11756" max="11756" width="42" style="41" customWidth="1"/>
    <col min="11757" max="11757" width="6.42578125" style="41" customWidth="1"/>
    <col min="11758" max="11760" width="10.28515625" style="41" customWidth="1"/>
    <col min="11761" max="11761" width="0" style="41" hidden="1" customWidth="1"/>
    <col min="11762" max="11762" width="10.28515625" style="41" customWidth="1"/>
    <col min="11763" max="12011" width="8.85546875" style="41"/>
    <col min="12012" max="12012" width="42" style="41" customWidth="1"/>
    <col min="12013" max="12013" width="6.42578125" style="41" customWidth="1"/>
    <col min="12014" max="12016" width="10.28515625" style="41" customWidth="1"/>
    <col min="12017" max="12017" width="0" style="41" hidden="1" customWidth="1"/>
    <col min="12018" max="12018" width="10.28515625" style="41" customWidth="1"/>
    <col min="12019" max="12267" width="8.85546875" style="41"/>
    <col min="12268" max="12268" width="42" style="41" customWidth="1"/>
    <col min="12269" max="12269" width="6.42578125" style="41" customWidth="1"/>
    <col min="12270" max="12272" width="10.28515625" style="41" customWidth="1"/>
    <col min="12273" max="12273" width="0" style="41" hidden="1" customWidth="1"/>
    <col min="12274" max="12274" width="10.28515625" style="41" customWidth="1"/>
    <col min="12275" max="12523" width="8.85546875" style="41"/>
    <col min="12524" max="12524" width="42" style="41" customWidth="1"/>
    <col min="12525" max="12525" width="6.42578125" style="41" customWidth="1"/>
    <col min="12526" max="12528" width="10.28515625" style="41" customWidth="1"/>
    <col min="12529" max="12529" width="0" style="41" hidden="1" customWidth="1"/>
    <col min="12530" max="12530" width="10.28515625" style="41" customWidth="1"/>
    <col min="12531" max="12779" width="8.85546875" style="41"/>
    <col min="12780" max="12780" width="42" style="41" customWidth="1"/>
    <col min="12781" max="12781" width="6.42578125" style="41" customWidth="1"/>
    <col min="12782" max="12784" width="10.28515625" style="41" customWidth="1"/>
    <col min="12785" max="12785" width="0" style="41" hidden="1" customWidth="1"/>
    <col min="12786" max="12786" width="10.28515625" style="41" customWidth="1"/>
    <col min="12787" max="13035" width="8.85546875" style="41"/>
    <col min="13036" max="13036" width="42" style="41" customWidth="1"/>
    <col min="13037" max="13037" width="6.42578125" style="41" customWidth="1"/>
    <col min="13038" max="13040" width="10.28515625" style="41" customWidth="1"/>
    <col min="13041" max="13041" width="0" style="41" hidden="1" customWidth="1"/>
    <col min="13042" max="13042" width="10.28515625" style="41" customWidth="1"/>
    <col min="13043" max="13291" width="8.85546875" style="41"/>
    <col min="13292" max="13292" width="42" style="41" customWidth="1"/>
    <col min="13293" max="13293" width="6.42578125" style="41" customWidth="1"/>
    <col min="13294" max="13296" width="10.28515625" style="41" customWidth="1"/>
    <col min="13297" max="13297" width="0" style="41" hidden="1" customWidth="1"/>
    <col min="13298" max="13298" width="10.28515625" style="41" customWidth="1"/>
    <col min="13299" max="13547" width="8.85546875" style="41"/>
    <col min="13548" max="13548" width="42" style="41" customWidth="1"/>
    <col min="13549" max="13549" width="6.42578125" style="41" customWidth="1"/>
    <col min="13550" max="13552" width="10.28515625" style="41" customWidth="1"/>
    <col min="13553" max="13553" width="0" style="41" hidden="1" customWidth="1"/>
    <col min="13554" max="13554" width="10.28515625" style="41" customWidth="1"/>
    <col min="13555" max="13803" width="8.85546875" style="41"/>
    <col min="13804" max="13804" width="42" style="41" customWidth="1"/>
    <col min="13805" max="13805" width="6.42578125" style="41" customWidth="1"/>
    <col min="13806" max="13808" width="10.28515625" style="41" customWidth="1"/>
    <col min="13809" max="13809" width="0" style="41" hidden="1" customWidth="1"/>
    <col min="13810" max="13810" width="10.28515625" style="41" customWidth="1"/>
    <col min="13811" max="14059" width="8.85546875" style="41"/>
    <col min="14060" max="14060" width="42" style="41" customWidth="1"/>
    <col min="14061" max="14061" width="6.42578125" style="41" customWidth="1"/>
    <col min="14062" max="14064" width="10.28515625" style="41" customWidth="1"/>
    <col min="14065" max="14065" width="0" style="41" hidden="1" customWidth="1"/>
    <col min="14066" max="14066" width="10.28515625" style="41" customWidth="1"/>
    <col min="14067" max="14315" width="8.85546875" style="41"/>
    <col min="14316" max="14316" width="42" style="41" customWidth="1"/>
    <col min="14317" max="14317" width="6.42578125" style="41" customWidth="1"/>
    <col min="14318" max="14320" width="10.28515625" style="41" customWidth="1"/>
    <col min="14321" max="14321" width="0" style="41" hidden="1" customWidth="1"/>
    <col min="14322" max="14322" width="10.28515625" style="41" customWidth="1"/>
    <col min="14323" max="14571" width="8.85546875" style="41"/>
    <col min="14572" max="14572" width="42" style="41" customWidth="1"/>
    <col min="14573" max="14573" width="6.42578125" style="41" customWidth="1"/>
    <col min="14574" max="14576" width="10.28515625" style="41" customWidth="1"/>
    <col min="14577" max="14577" width="0" style="41" hidden="1" customWidth="1"/>
    <col min="14578" max="14578" width="10.28515625" style="41" customWidth="1"/>
    <col min="14579" max="14827" width="8.85546875" style="41"/>
    <col min="14828" max="14828" width="42" style="41" customWidth="1"/>
    <col min="14829" max="14829" width="6.42578125" style="41" customWidth="1"/>
    <col min="14830" max="14832" width="10.28515625" style="41" customWidth="1"/>
    <col min="14833" max="14833" width="0" style="41" hidden="1" customWidth="1"/>
    <col min="14834" max="14834" width="10.28515625" style="41" customWidth="1"/>
    <col min="14835" max="15083" width="8.85546875" style="41"/>
    <col min="15084" max="15084" width="42" style="41" customWidth="1"/>
    <col min="15085" max="15085" width="6.42578125" style="41" customWidth="1"/>
    <col min="15086" max="15088" width="10.28515625" style="41" customWidth="1"/>
    <col min="15089" max="15089" width="0" style="41" hidden="1" customWidth="1"/>
    <col min="15090" max="15090" width="10.28515625" style="41" customWidth="1"/>
    <col min="15091" max="15339" width="8.85546875" style="41"/>
    <col min="15340" max="15340" width="42" style="41" customWidth="1"/>
    <col min="15341" max="15341" width="6.42578125" style="41" customWidth="1"/>
    <col min="15342" max="15344" width="10.28515625" style="41" customWidth="1"/>
    <col min="15345" max="15345" width="0" style="41" hidden="1" customWidth="1"/>
    <col min="15346" max="15346" width="10.28515625" style="41" customWidth="1"/>
    <col min="15347" max="15595" width="8.85546875" style="41"/>
    <col min="15596" max="15596" width="42" style="41" customWidth="1"/>
    <col min="15597" max="15597" width="6.42578125" style="41" customWidth="1"/>
    <col min="15598" max="15600" width="10.28515625" style="41" customWidth="1"/>
    <col min="15601" max="15601" width="0" style="41" hidden="1" customWidth="1"/>
    <col min="15602" max="15602" width="10.28515625" style="41" customWidth="1"/>
    <col min="15603" max="15851" width="8.85546875" style="41"/>
    <col min="15852" max="15852" width="42" style="41" customWidth="1"/>
    <col min="15853" max="15853" width="6.42578125" style="41" customWidth="1"/>
    <col min="15854" max="15856" width="10.28515625" style="41" customWidth="1"/>
    <col min="15857" max="15857" width="0" style="41" hidden="1" customWidth="1"/>
    <col min="15858" max="15858" width="10.28515625" style="41" customWidth="1"/>
    <col min="15859" max="16107" width="8.85546875" style="41"/>
    <col min="16108" max="16108" width="42" style="41" customWidth="1"/>
    <col min="16109" max="16109" width="6.42578125" style="41" customWidth="1"/>
    <col min="16110" max="16112" width="10.28515625" style="41" customWidth="1"/>
    <col min="16113" max="16113" width="0" style="41" hidden="1" customWidth="1"/>
    <col min="16114" max="16114" width="10.28515625" style="41" customWidth="1"/>
    <col min="16115" max="16384" width="8.85546875" style="41"/>
  </cols>
  <sheetData>
    <row r="1" spans="1:44" ht="13.5" customHeight="1" x14ac:dyDescent="0.2">
      <c r="A1" s="38"/>
      <c r="B1" s="38"/>
    </row>
    <row r="2" spans="1:44" ht="13.5" customHeight="1" x14ac:dyDescent="0.2">
      <c r="A2" s="95" t="s">
        <v>72</v>
      </c>
      <c r="B2" s="184">
        <v>46022</v>
      </c>
      <c r="C2" s="134">
        <v>42460</v>
      </c>
      <c r="D2" s="134">
        <v>42551</v>
      </c>
      <c r="E2" s="134">
        <v>42643</v>
      </c>
      <c r="F2" s="134">
        <v>42735</v>
      </c>
      <c r="G2" s="134">
        <v>42825</v>
      </c>
      <c r="H2" s="134">
        <v>42916</v>
      </c>
      <c r="I2" s="134">
        <v>43008</v>
      </c>
      <c r="J2" s="134">
        <v>43100</v>
      </c>
      <c r="K2" s="134">
        <v>43190</v>
      </c>
      <c r="L2" s="134">
        <v>43281</v>
      </c>
      <c r="M2" s="134">
        <v>43373</v>
      </c>
      <c r="N2" s="134">
        <v>43465</v>
      </c>
      <c r="O2" s="134">
        <v>43555</v>
      </c>
      <c r="P2" s="134">
        <v>43646</v>
      </c>
      <c r="Q2" s="134">
        <v>43738</v>
      </c>
      <c r="R2" s="134">
        <v>43830</v>
      </c>
      <c r="S2" s="134">
        <v>43921</v>
      </c>
      <c r="T2" s="134">
        <v>44012</v>
      </c>
      <c r="U2" s="134">
        <v>44104</v>
      </c>
      <c r="V2" s="134">
        <v>44196</v>
      </c>
      <c r="W2" s="134">
        <v>44286</v>
      </c>
      <c r="X2" s="134">
        <v>44377</v>
      </c>
      <c r="Y2" s="134">
        <v>44469</v>
      </c>
      <c r="Z2" s="134">
        <v>44561</v>
      </c>
      <c r="AA2" s="134">
        <v>44651</v>
      </c>
      <c r="AB2" s="134">
        <v>44742</v>
      </c>
      <c r="AC2" s="134">
        <v>44834</v>
      </c>
      <c r="AD2" s="134">
        <v>44926</v>
      </c>
      <c r="AE2" s="134">
        <v>45016</v>
      </c>
      <c r="AF2" s="134">
        <v>45107</v>
      </c>
      <c r="AG2" s="134">
        <v>45199</v>
      </c>
      <c r="AH2" s="134">
        <v>45291</v>
      </c>
      <c r="AI2" s="134">
        <v>45382</v>
      </c>
      <c r="AJ2" s="134">
        <v>45473</v>
      </c>
      <c r="AK2" s="134">
        <v>45565</v>
      </c>
      <c r="AL2" s="134">
        <v>45657</v>
      </c>
      <c r="AM2" s="134">
        <v>45747</v>
      </c>
      <c r="AN2" s="134">
        <v>45838</v>
      </c>
    </row>
    <row r="3" spans="1:44" ht="13.5" customHeight="1" x14ac:dyDescent="0.2">
      <c r="A3" s="42" t="s">
        <v>73</v>
      </c>
      <c r="B3" s="42">
        <v>2694.1</v>
      </c>
      <c r="C3" s="44">
        <v>2723.8</v>
      </c>
      <c r="D3" s="44">
        <v>2783.1</v>
      </c>
      <c r="E3" s="44">
        <v>2842.7</v>
      </c>
      <c r="F3" s="44">
        <v>2639.5</v>
      </c>
      <c r="G3" s="44">
        <v>2637.4</v>
      </c>
      <c r="H3" s="44">
        <v>2618</v>
      </c>
      <c r="I3" s="44">
        <v>2734.3</v>
      </c>
      <c r="J3" s="44">
        <v>2808.4</v>
      </c>
      <c r="K3" s="44">
        <v>2778.2</v>
      </c>
      <c r="L3" s="44">
        <v>2743.1</v>
      </c>
      <c r="M3" s="44">
        <f t="shared" ref="M3" si="0">2681.4-0.2</f>
        <v>2681.2000000000003</v>
      </c>
      <c r="N3" s="44">
        <v>2614.6</v>
      </c>
      <c r="O3" s="44">
        <v>2555.5</v>
      </c>
      <c r="P3" s="44">
        <v>2498.3000000000002</v>
      </c>
      <c r="Q3" s="43">
        <v>2431.8000000000002</v>
      </c>
      <c r="R3" s="43">
        <v>2377.1</v>
      </c>
      <c r="S3" s="43">
        <f>2121.5-14.3</f>
        <v>2107.1999999999998</v>
      </c>
      <c r="T3" s="43">
        <v>2053.5</v>
      </c>
      <c r="U3" s="43">
        <v>2001.1</v>
      </c>
      <c r="V3" s="43">
        <v>1893.1</v>
      </c>
      <c r="W3" s="43">
        <v>1823.5</v>
      </c>
      <c r="X3" s="43">
        <v>1813.4</v>
      </c>
      <c r="Y3" s="43">
        <v>1813.5</v>
      </c>
      <c r="Z3" s="43">
        <v>1836</v>
      </c>
      <c r="AA3" s="43">
        <v>1913</v>
      </c>
      <c r="AB3" s="43">
        <v>2034.9</v>
      </c>
      <c r="AC3" s="43">
        <v>2189.1</v>
      </c>
      <c r="AD3" s="43">
        <v>2394.3000000000002</v>
      </c>
      <c r="AE3" s="43">
        <v>2379.3000000000002</v>
      </c>
      <c r="AF3" s="43">
        <v>2520.9</v>
      </c>
      <c r="AG3" s="43">
        <v>2662.7</v>
      </c>
      <c r="AH3" s="43">
        <v>2833.5</v>
      </c>
      <c r="AI3" s="43">
        <v>2889.2</v>
      </c>
      <c r="AJ3" s="43">
        <v>2969.3</v>
      </c>
      <c r="AK3" s="43">
        <v>3037.1</v>
      </c>
      <c r="AL3" s="43">
        <v>3138.6</v>
      </c>
      <c r="AM3" s="43">
        <v>3086.4</v>
      </c>
      <c r="AN3" s="77">
        <v>3217.1</v>
      </c>
    </row>
    <row r="4" spans="1:44" ht="13.5" customHeight="1" x14ac:dyDescent="0.2">
      <c r="A4" s="42" t="s">
        <v>74</v>
      </c>
      <c r="B4" s="42">
        <v>12</v>
      </c>
      <c r="C4" s="44">
        <v>11</v>
      </c>
      <c r="D4" s="44">
        <v>10.5</v>
      </c>
      <c r="E4" s="44">
        <v>10.6</v>
      </c>
      <c r="F4" s="44">
        <v>10.199999999999999</v>
      </c>
      <c r="G4" s="44">
        <v>10.4</v>
      </c>
      <c r="H4" s="44">
        <v>9.3000000000000007</v>
      </c>
      <c r="I4" s="44">
        <v>9.4</v>
      </c>
      <c r="J4" s="44">
        <v>10.1</v>
      </c>
      <c r="K4" s="44">
        <v>10.199999999999999</v>
      </c>
      <c r="L4" s="44">
        <v>10.6</v>
      </c>
      <c r="M4" s="44">
        <v>12</v>
      </c>
      <c r="N4" s="44">
        <v>13.3</v>
      </c>
      <c r="O4" s="44">
        <v>13.3</v>
      </c>
      <c r="P4" s="44">
        <v>14.1</v>
      </c>
      <c r="Q4" s="43">
        <v>14.6</v>
      </c>
      <c r="R4" s="43">
        <v>16</v>
      </c>
      <c r="S4" s="43">
        <v>4.4000000000000004</v>
      </c>
      <c r="T4" s="43">
        <v>4.3</v>
      </c>
      <c r="U4" s="43">
        <v>4.2</v>
      </c>
      <c r="V4" s="43">
        <v>4.0999999999999996</v>
      </c>
      <c r="W4" s="43">
        <v>20.6</v>
      </c>
      <c r="X4" s="43">
        <v>19.100000000000001</v>
      </c>
      <c r="Y4" s="43">
        <f>17+1.2</f>
        <v>18.2</v>
      </c>
      <c r="Z4" s="43">
        <v>17.3</v>
      </c>
      <c r="AA4" s="43">
        <v>14.9</v>
      </c>
      <c r="AB4" s="43">
        <v>11.9</v>
      </c>
      <c r="AC4" s="43">
        <v>9.5</v>
      </c>
      <c r="AD4" s="43">
        <v>8.5</v>
      </c>
      <c r="AE4" s="43">
        <v>6.8</v>
      </c>
      <c r="AF4" s="43">
        <v>4.8</v>
      </c>
      <c r="AG4" s="43">
        <v>2.9</v>
      </c>
      <c r="AH4" s="43">
        <v>2.8</v>
      </c>
      <c r="AI4" s="43">
        <v>2.6</v>
      </c>
      <c r="AJ4" s="43">
        <v>2.4</v>
      </c>
      <c r="AK4" s="43">
        <v>2.2999999999999998</v>
      </c>
      <c r="AL4" s="43">
        <v>2.1</v>
      </c>
      <c r="AM4" s="43">
        <v>2</v>
      </c>
      <c r="AN4" s="77">
        <v>1.9</v>
      </c>
    </row>
    <row r="5" spans="1:44" ht="13.5" customHeight="1" x14ac:dyDescent="0.2">
      <c r="A5" s="42" t="s">
        <v>75</v>
      </c>
      <c r="B5" s="68">
        <v>0</v>
      </c>
      <c r="C5" s="68">
        <v>0</v>
      </c>
      <c r="D5" s="68">
        <v>0</v>
      </c>
      <c r="E5" s="68">
        <v>0</v>
      </c>
      <c r="F5" s="68">
        <v>0</v>
      </c>
      <c r="G5" s="68">
        <v>0</v>
      </c>
      <c r="H5" s="68">
        <v>0</v>
      </c>
      <c r="I5" s="68">
        <v>0</v>
      </c>
      <c r="J5" s="68">
        <v>0</v>
      </c>
      <c r="K5" s="68">
        <v>0</v>
      </c>
      <c r="L5" s="68">
        <v>0</v>
      </c>
      <c r="M5" s="68">
        <v>0</v>
      </c>
      <c r="N5" s="68">
        <v>0</v>
      </c>
      <c r="O5" s="44">
        <v>23</v>
      </c>
      <c r="P5" s="44">
        <v>25</v>
      </c>
      <c r="Q5" s="43">
        <v>22.4</v>
      </c>
      <c r="R5" s="43">
        <v>22</v>
      </c>
      <c r="S5" s="43">
        <v>17</v>
      </c>
      <c r="T5" s="43">
        <v>16.2</v>
      </c>
      <c r="U5" s="43">
        <v>15.6</v>
      </c>
      <c r="V5" s="43">
        <v>18.5</v>
      </c>
      <c r="W5" s="43">
        <v>17.100000000000001</v>
      </c>
      <c r="X5" s="43">
        <v>15.4</v>
      </c>
      <c r="Y5" s="43">
        <f>14.6+6.6</f>
        <v>21.2</v>
      </c>
      <c r="Z5" s="43">
        <v>19.2</v>
      </c>
      <c r="AA5" s="43">
        <v>17</v>
      </c>
      <c r="AB5" s="43">
        <v>16.899999999999999</v>
      </c>
      <c r="AC5" s="43">
        <v>22.8</v>
      </c>
      <c r="AD5" s="43">
        <v>21.1</v>
      </c>
      <c r="AE5" s="43">
        <v>19.2</v>
      </c>
      <c r="AF5" s="43">
        <v>17.3</v>
      </c>
      <c r="AG5" s="43">
        <v>15.3</v>
      </c>
      <c r="AH5" s="43">
        <v>13.8</v>
      </c>
      <c r="AI5" s="43">
        <v>25.9</v>
      </c>
      <c r="AJ5" s="43">
        <v>24</v>
      </c>
      <c r="AK5" s="43">
        <v>22.2</v>
      </c>
      <c r="AL5" s="43">
        <v>21.4</v>
      </c>
      <c r="AM5" s="43">
        <v>21.5</v>
      </c>
      <c r="AN5" s="77">
        <v>20.7</v>
      </c>
    </row>
    <row r="6" spans="1:44" ht="13.5" hidden="1" customHeight="1" x14ac:dyDescent="0.2">
      <c r="A6" s="42" t="s">
        <v>76</v>
      </c>
      <c r="B6" s="42"/>
      <c r="C6" s="68">
        <v>0</v>
      </c>
      <c r="D6" s="68">
        <v>0</v>
      </c>
      <c r="E6" s="68">
        <v>0</v>
      </c>
      <c r="F6" s="68">
        <v>0</v>
      </c>
      <c r="G6" s="68">
        <v>0</v>
      </c>
      <c r="H6" s="68">
        <v>51.2</v>
      </c>
      <c r="I6" s="68">
        <v>55.6</v>
      </c>
      <c r="J6" s="68">
        <v>63.3</v>
      </c>
      <c r="K6" s="44">
        <v>109.4</v>
      </c>
      <c r="L6" s="44">
        <v>150.4</v>
      </c>
      <c r="M6" s="44">
        <v>226.9</v>
      </c>
      <c r="N6" s="44">
        <v>183.4</v>
      </c>
      <c r="O6" s="44">
        <v>188</v>
      </c>
      <c r="P6" s="44">
        <v>184.1</v>
      </c>
      <c r="Q6" s="43">
        <v>195.9</v>
      </c>
      <c r="R6" s="43">
        <v>216.1</v>
      </c>
      <c r="S6" s="68">
        <v>0</v>
      </c>
      <c r="T6" s="68">
        <v>0</v>
      </c>
      <c r="U6" s="68">
        <v>0</v>
      </c>
      <c r="V6" s="68">
        <v>0</v>
      </c>
      <c r="W6" s="68">
        <v>0</v>
      </c>
      <c r="X6" s="68">
        <v>0</v>
      </c>
      <c r="Y6" s="113">
        <v>0</v>
      </c>
      <c r="Z6" s="113">
        <v>0</v>
      </c>
      <c r="AA6" s="113">
        <v>0</v>
      </c>
      <c r="AB6" s="113">
        <v>0</v>
      </c>
      <c r="AC6" s="113">
        <v>0</v>
      </c>
      <c r="AD6" s="113">
        <v>0</v>
      </c>
      <c r="AE6" s="113">
        <v>0</v>
      </c>
      <c r="AF6" s="113">
        <v>0</v>
      </c>
      <c r="AG6" s="113">
        <v>0</v>
      </c>
      <c r="AH6" s="113">
        <v>0</v>
      </c>
      <c r="AI6" s="113"/>
      <c r="AJ6" s="113"/>
      <c r="AK6" s="113"/>
      <c r="AL6" s="113"/>
      <c r="AM6" s="113"/>
      <c r="AN6" s="112"/>
    </row>
    <row r="7" spans="1:44" ht="13.5" customHeight="1" x14ac:dyDescent="0.2">
      <c r="A7" s="42" t="s">
        <v>77</v>
      </c>
      <c r="B7" s="42">
        <v>4.4000000000000004</v>
      </c>
      <c r="C7" s="44">
        <v>4.3</v>
      </c>
      <c r="D7" s="44">
        <v>4</v>
      </c>
      <c r="E7" s="44">
        <v>3.9</v>
      </c>
      <c r="F7" s="44">
        <v>3.7</v>
      </c>
      <c r="G7" s="44">
        <v>3.7</v>
      </c>
      <c r="H7" s="44">
        <v>5.8</v>
      </c>
      <c r="I7" s="44">
        <v>5.8</v>
      </c>
      <c r="J7" s="44">
        <v>6.7</v>
      </c>
      <c r="K7" s="44">
        <v>6.9</v>
      </c>
      <c r="L7" s="44">
        <v>8.5</v>
      </c>
      <c r="M7" s="44">
        <v>29</v>
      </c>
      <c r="N7" s="44">
        <v>37.700000000000003</v>
      </c>
      <c r="O7" s="44">
        <v>36.5</v>
      </c>
      <c r="P7" s="44">
        <v>40.4</v>
      </c>
      <c r="Q7" s="43">
        <v>92.5</v>
      </c>
      <c r="R7" s="43">
        <v>101.1</v>
      </c>
      <c r="S7" s="43">
        <v>4.3</v>
      </c>
      <c r="T7" s="43">
        <v>4.3</v>
      </c>
      <c r="U7" s="43">
        <v>3.9</v>
      </c>
      <c r="V7" s="43">
        <v>3.3</v>
      </c>
      <c r="W7" s="43">
        <v>91.8</v>
      </c>
      <c r="X7" s="43">
        <f>108.5-1.6</f>
        <v>106.9</v>
      </c>
      <c r="Y7" s="43">
        <f>110.9-1.2-6.6</f>
        <v>103.10000000000001</v>
      </c>
      <c r="Z7" s="43">
        <v>99.7</v>
      </c>
      <c r="AA7" s="43">
        <v>96.2</v>
      </c>
      <c r="AB7" s="43">
        <v>89.8</v>
      </c>
      <c r="AC7" s="43">
        <v>82.8</v>
      </c>
      <c r="AD7" s="43">
        <v>88</v>
      </c>
      <c r="AE7" s="43">
        <v>87.9</v>
      </c>
      <c r="AF7" s="43">
        <v>87.5</v>
      </c>
      <c r="AG7" s="43">
        <v>83.8</v>
      </c>
      <c r="AH7" s="43">
        <v>87.8</v>
      </c>
      <c r="AI7" s="43">
        <v>85.2</v>
      </c>
      <c r="AJ7" s="43">
        <v>84</v>
      </c>
      <c r="AK7" s="43">
        <v>86.5</v>
      </c>
      <c r="AL7" s="43">
        <v>80.400000000000006</v>
      </c>
      <c r="AM7" s="43">
        <v>83.4</v>
      </c>
      <c r="AN7" s="77">
        <v>89.9</v>
      </c>
    </row>
    <row r="8" spans="1:44" ht="13.5" customHeight="1" x14ac:dyDescent="0.2">
      <c r="A8" s="42" t="s">
        <v>78</v>
      </c>
      <c r="B8" s="42">
        <v>7.7</v>
      </c>
      <c r="C8" s="44">
        <v>7.8</v>
      </c>
      <c r="D8" s="44">
        <v>7.8</v>
      </c>
      <c r="E8" s="44">
        <v>8.1</v>
      </c>
      <c r="F8" s="44">
        <v>7.8</v>
      </c>
      <c r="G8" s="44">
        <v>7.8</v>
      </c>
      <c r="H8" s="44">
        <v>7.5</v>
      </c>
      <c r="I8" s="44">
        <v>7.5</v>
      </c>
      <c r="J8" s="44">
        <v>7.9</v>
      </c>
      <c r="K8" s="44">
        <v>8.3000000000000007</v>
      </c>
      <c r="L8" s="44">
        <v>8.5</v>
      </c>
      <c r="M8" s="44">
        <v>8.6</v>
      </c>
      <c r="N8" s="44">
        <v>9.1999999999999993</v>
      </c>
      <c r="O8" s="44">
        <v>9.6999999999999993</v>
      </c>
      <c r="P8" s="44">
        <v>9.9</v>
      </c>
      <c r="Q8" s="43">
        <v>10.1</v>
      </c>
      <c r="R8" s="43">
        <v>9.8000000000000007</v>
      </c>
      <c r="S8" s="43">
        <f>246.8-4.1-1.2</f>
        <v>241.50000000000003</v>
      </c>
      <c r="T8" s="43">
        <v>239.4</v>
      </c>
      <c r="U8" s="43">
        <v>234.6</v>
      </c>
      <c r="V8" s="43">
        <v>231.6</v>
      </c>
      <c r="W8" s="43">
        <v>239.9</v>
      </c>
      <c r="X8" s="43">
        <v>245.1</v>
      </c>
      <c r="Y8" s="43">
        <v>241.4</v>
      </c>
      <c r="Z8" s="43">
        <v>210.3</v>
      </c>
      <c r="AA8" s="43">
        <v>253.4</v>
      </c>
      <c r="AB8" s="43">
        <v>287.10000000000002</v>
      </c>
      <c r="AC8" s="43">
        <v>322.2</v>
      </c>
      <c r="AD8" s="43">
        <v>337.9</v>
      </c>
      <c r="AE8" s="43">
        <v>338.3</v>
      </c>
      <c r="AF8" s="43">
        <v>359.9</v>
      </c>
      <c r="AG8" s="43">
        <v>384.9</v>
      </c>
      <c r="AH8" s="43">
        <v>384.8</v>
      </c>
      <c r="AI8" s="43">
        <v>224.8</v>
      </c>
      <c r="AJ8" s="43">
        <v>235.4</v>
      </c>
      <c r="AK8" s="43">
        <v>212.2</v>
      </c>
      <c r="AL8" s="43">
        <v>226.4</v>
      </c>
      <c r="AM8" s="43">
        <v>218.8</v>
      </c>
      <c r="AN8" s="77">
        <v>217.2</v>
      </c>
    </row>
    <row r="9" spans="1:44" ht="13.5" customHeight="1" x14ac:dyDescent="0.2">
      <c r="A9" s="42" t="s">
        <v>79</v>
      </c>
      <c r="B9" s="42">
        <v>113.5</v>
      </c>
      <c r="C9" s="44">
        <v>109.3</v>
      </c>
      <c r="D9" s="44">
        <v>105</v>
      </c>
      <c r="E9" s="44">
        <v>100.6</v>
      </c>
      <c r="F9" s="44">
        <v>96.2</v>
      </c>
      <c r="G9" s="44">
        <v>91.6</v>
      </c>
      <c r="H9" s="44">
        <v>87</v>
      </c>
      <c r="I9" s="44">
        <v>82.3</v>
      </c>
      <c r="J9" s="44">
        <v>77.5</v>
      </c>
      <c r="K9" s="44">
        <v>72.599999999999994</v>
      </c>
      <c r="L9" s="44">
        <v>67.599999999999994</v>
      </c>
      <c r="M9" s="44">
        <v>62.5</v>
      </c>
      <c r="N9" s="44">
        <v>57.3</v>
      </c>
      <c r="O9" s="44">
        <v>52.1</v>
      </c>
      <c r="P9" s="44">
        <v>46.7</v>
      </c>
      <c r="Q9" s="43">
        <v>41.2</v>
      </c>
      <c r="R9" s="43">
        <v>35.6</v>
      </c>
      <c r="S9" s="43">
        <v>30</v>
      </c>
      <c r="T9" s="43">
        <v>24.2</v>
      </c>
      <c r="U9" s="43">
        <v>18.3</v>
      </c>
      <c r="V9" s="43">
        <v>12.3</v>
      </c>
      <c r="W9" s="43">
        <v>6.1</v>
      </c>
      <c r="X9" s="43">
        <v>0</v>
      </c>
      <c r="Y9" s="113">
        <v>0</v>
      </c>
      <c r="Z9" s="68">
        <v>0</v>
      </c>
      <c r="AA9" s="68">
        <v>0</v>
      </c>
      <c r="AB9" s="68">
        <v>47.1</v>
      </c>
      <c r="AC9" s="68">
        <v>0</v>
      </c>
      <c r="AD9" s="113">
        <v>0</v>
      </c>
      <c r="AE9" s="113">
        <v>0</v>
      </c>
      <c r="AF9" s="113">
        <v>0</v>
      </c>
      <c r="AG9" s="113">
        <v>0</v>
      </c>
      <c r="AH9" s="113">
        <v>0</v>
      </c>
      <c r="AI9" s="113">
        <v>0</v>
      </c>
      <c r="AJ9" s="113">
        <v>0</v>
      </c>
      <c r="AK9" s="113">
        <v>0</v>
      </c>
      <c r="AL9" s="113">
        <v>0</v>
      </c>
      <c r="AM9" s="113">
        <v>0</v>
      </c>
      <c r="AN9" s="112">
        <v>0</v>
      </c>
    </row>
    <row r="10" spans="1:44" ht="13.5" customHeight="1" x14ac:dyDescent="0.2">
      <c r="A10" s="42" t="s">
        <v>80</v>
      </c>
      <c r="B10" s="42">
        <v>4.2</v>
      </c>
      <c r="C10" s="44">
        <v>4.0999999999999996</v>
      </c>
      <c r="D10" s="44">
        <v>4</v>
      </c>
      <c r="E10" s="44">
        <v>4.9000000000000004</v>
      </c>
      <c r="F10" s="44">
        <v>2.6</v>
      </c>
      <c r="G10" s="44">
        <v>2.6</v>
      </c>
      <c r="H10" s="44">
        <v>3.2</v>
      </c>
      <c r="I10" s="44">
        <v>3.8</v>
      </c>
      <c r="J10" s="44">
        <v>11.5</v>
      </c>
      <c r="K10" s="44">
        <v>10.5</v>
      </c>
      <c r="L10" s="44">
        <v>10.7</v>
      </c>
      <c r="M10" s="44">
        <v>10.3</v>
      </c>
      <c r="N10" s="44">
        <v>12.5</v>
      </c>
      <c r="O10" s="44">
        <v>12.7</v>
      </c>
      <c r="P10" s="44">
        <v>11.5</v>
      </c>
      <c r="Q10" s="43">
        <v>8.5</v>
      </c>
      <c r="R10" s="43">
        <v>12.3</v>
      </c>
      <c r="S10" s="43">
        <f>16.2-3.4</f>
        <v>12.799999999999999</v>
      </c>
      <c r="T10" s="43">
        <v>14.2</v>
      </c>
      <c r="U10" s="43">
        <v>17.2</v>
      </c>
      <c r="V10" s="43">
        <f>16.6+0.7</f>
        <v>17.3</v>
      </c>
      <c r="W10" s="43">
        <v>65.7</v>
      </c>
      <c r="X10" s="43">
        <v>65.900000000000006</v>
      </c>
      <c r="Y10" s="43">
        <v>65.8</v>
      </c>
      <c r="Z10" s="43">
        <f>53.6+9.3</f>
        <v>62.900000000000006</v>
      </c>
      <c r="AA10" s="43">
        <v>62.6</v>
      </c>
      <c r="AB10" s="43">
        <v>62.2</v>
      </c>
      <c r="AC10" s="43">
        <v>61.9</v>
      </c>
      <c r="AD10" s="43">
        <v>61.8</v>
      </c>
      <c r="AE10" s="43">
        <v>61.9</v>
      </c>
      <c r="AF10" s="43">
        <v>61.6</v>
      </c>
      <c r="AG10" s="43">
        <v>61.6</v>
      </c>
      <c r="AH10" s="43">
        <v>61.6</v>
      </c>
      <c r="AI10" s="43">
        <v>61.6</v>
      </c>
      <c r="AJ10" s="43">
        <v>61.6</v>
      </c>
      <c r="AK10" s="43">
        <v>62.1</v>
      </c>
      <c r="AL10" s="43">
        <v>64.099999999999994</v>
      </c>
      <c r="AM10" s="43">
        <v>62.1</v>
      </c>
      <c r="AN10" s="77">
        <v>62.2</v>
      </c>
      <c r="AR10" s="43"/>
    </row>
    <row r="11" spans="1:44" ht="12.75" x14ac:dyDescent="0.2">
      <c r="A11" s="42" t="s">
        <v>81</v>
      </c>
      <c r="B11" s="42"/>
      <c r="C11" s="68">
        <v>0</v>
      </c>
      <c r="D11" s="68">
        <v>0</v>
      </c>
      <c r="E11" s="44">
        <v>2.8</v>
      </c>
      <c r="F11" s="44">
        <v>1.8</v>
      </c>
      <c r="G11" s="44">
        <v>1.9</v>
      </c>
      <c r="H11" s="44">
        <v>1.9</v>
      </c>
      <c r="I11" s="44">
        <v>1.7</v>
      </c>
      <c r="J11" s="44">
        <v>0.5</v>
      </c>
      <c r="K11" s="44">
        <v>0.8</v>
      </c>
      <c r="L11" s="44">
        <v>0.6</v>
      </c>
      <c r="M11" s="44">
        <v>0.5</v>
      </c>
      <c r="N11" s="68">
        <v>0</v>
      </c>
      <c r="O11" s="68">
        <v>0</v>
      </c>
      <c r="P11" s="68">
        <v>0</v>
      </c>
      <c r="Q11" s="68">
        <v>0</v>
      </c>
      <c r="R11" s="68">
        <v>0.2</v>
      </c>
      <c r="S11" s="68">
        <v>0.2</v>
      </c>
      <c r="T11" s="68">
        <v>0.2</v>
      </c>
      <c r="U11" s="68">
        <v>0.2</v>
      </c>
      <c r="V11" s="68">
        <v>0</v>
      </c>
      <c r="W11" s="68">
        <v>0</v>
      </c>
      <c r="X11" s="68">
        <v>0</v>
      </c>
      <c r="Y11" s="68">
        <v>0.1</v>
      </c>
      <c r="Z11" s="68">
        <v>0</v>
      </c>
      <c r="AA11" s="68">
        <v>0</v>
      </c>
      <c r="AB11" s="68">
        <v>0</v>
      </c>
      <c r="AC11" s="68">
        <v>0</v>
      </c>
      <c r="AD11" s="68">
        <v>0</v>
      </c>
      <c r="AE11" s="68">
        <v>0</v>
      </c>
      <c r="AF11" s="68">
        <v>0</v>
      </c>
      <c r="AG11" s="68">
        <v>0</v>
      </c>
      <c r="AH11" s="68">
        <v>0</v>
      </c>
      <c r="AI11" s="68">
        <v>0</v>
      </c>
      <c r="AJ11" s="68">
        <v>0</v>
      </c>
      <c r="AK11" s="68">
        <v>0</v>
      </c>
      <c r="AL11" s="68">
        <v>0</v>
      </c>
      <c r="AM11" s="68"/>
      <c r="AN11" s="78"/>
      <c r="AR11" s="148"/>
    </row>
    <row r="12" spans="1:44" ht="13.5" customHeight="1" x14ac:dyDescent="0.2">
      <c r="A12" s="42" t="s">
        <v>82</v>
      </c>
      <c r="B12" s="44">
        <v>0.6</v>
      </c>
      <c r="C12" s="44">
        <v>0.6</v>
      </c>
      <c r="D12" s="68">
        <v>0</v>
      </c>
      <c r="E12" s="44">
        <v>0.2</v>
      </c>
      <c r="F12" s="44">
        <v>7.1</v>
      </c>
      <c r="G12" s="44">
        <v>7.4</v>
      </c>
      <c r="H12" s="44">
        <v>5.6</v>
      </c>
      <c r="I12" s="44">
        <v>5.7</v>
      </c>
      <c r="J12" s="44">
        <v>7.7</v>
      </c>
      <c r="K12" s="44">
        <v>15.6</v>
      </c>
      <c r="L12" s="44">
        <v>18</v>
      </c>
      <c r="M12" s="44">
        <v>21.2</v>
      </c>
      <c r="N12" s="44">
        <v>12.9</v>
      </c>
      <c r="O12" s="44">
        <v>6.7</v>
      </c>
      <c r="P12" s="44">
        <v>2.2999999999999998</v>
      </c>
      <c r="Q12" s="43">
        <v>0.8</v>
      </c>
      <c r="R12" s="43">
        <v>5.7</v>
      </c>
      <c r="S12" s="43">
        <v>1</v>
      </c>
      <c r="T12" s="43">
        <v>0.7</v>
      </c>
      <c r="U12" s="43">
        <v>0.4</v>
      </c>
      <c r="V12" s="43">
        <v>4.3</v>
      </c>
      <c r="W12" s="43">
        <v>5.2</v>
      </c>
      <c r="X12" s="43">
        <v>4.4000000000000004</v>
      </c>
      <c r="Y12" s="43">
        <v>1.6</v>
      </c>
      <c r="Z12" s="43">
        <v>3.2</v>
      </c>
      <c r="AA12" s="43">
        <v>20.5</v>
      </c>
      <c r="AB12" s="43">
        <v>29.1</v>
      </c>
      <c r="AC12" s="43">
        <v>45.4</v>
      </c>
      <c r="AD12" s="43">
        <v>45.7</v>
      </c>
      <c r="AE12" s="43">
        <v>37.799999999999997</v>
      </c>
      <c r="AF12" s="43">
        <v>36.6</v>
      </c>
      <c r="AG12" s="43">
        <v>44.4</v>
      </c>
      <c r="AH12" s="43">
        <v>37.700000000000003</v>
      </c>
      <c r="AI12" s="43">
        <v>31.4</v>
      </c>
      <c r="AJ12" s="43">
        <v>28.9</v>
      </c>
      <c r="AK12" s="43">
        <v>19.899999999999999</v>
      </c>
      <c r="AL12" s="43">
        <v>25.2</v>
      </c>
      <c r="AM12" s="43">
        <v>6.2</v>
      </c>
      <c r="AN12" s="77">
        <v>10.1</v>
      </c>
    </row>
    <row r="13" spans="1:44" ht="13.5" customHeight="1" x14ac:dyDescent="0.2">
      <c r="A13" s="42" t="s">
        <v>83</v>
      </c>
      <c r="B13" s="42">
        <v>3.3</v>
      </c>
      <c r="C13" s="44">
        <v>3</v>
      </c>
      <c r="D13" s="44">
        <v>2.8</v>
      </c>
      <c r="E13" s="44">
        <v>2.9</v>
      </c>
      <c r="F13" s="44">
        <v>2.4</v>
      </c>
      <c r="G13" s="44">
        <v>3.2</v>
      </c>
      <c r="H13" s="44">
        <v>4</v>
      </c>
      <c r="I13" s="44">
        <v>5.0999999999999996</v>
      </c>
      <c r="J13" s="44">
        <v>5.4</v>
      </c>
      <c r="K13" s="44">
        <v>6.4</v>
      </c>
      <c r="L13" s="44">
        <v>10</v>
      </c>
      <c r="M13" s="44">
        <f t="shared" ref="M13" si="1">15.7-13.1</f>
        <v>2.5999999999999996</v>
      </c>
      <c r="N13" s="44">
        <v>10.8</v>
      </c>
      <c r="O13" s="44">
        <v>8.3000000000000007</v>
      </c>
      <c r="P13" s="44">
        <v>4.9000000000000004</v>
      </c>
      <c r="Q13" s="43">
        <v>7.1</v>
      </c>
      <c r="R13" s="43">
        <v>1.6</v>
      </c>
      <c r="S13" s="43">
        <v>1.2</v>
      </c>
      <c r="T13" s="43">
        <v>1.1000000000000001</v>
      </c>
      <c r="U13" s="43">
        <v>1.3</v>
      </c>
      <c r="V13" s="43">
        <v>1.1000000000000001</v>
      </c>
      <c r="W13" s="43">
        <v>1.8</v>
      </c>
      <c r="X13" s="43">
        <v>1.5</v>
      </c>
      <c r="Y13" s="43">
        <v>2.2000000000000002</v>
      </c>
      <c r="Z13" s="43">
        <v>5</v>
      </c>
      <c r="AA13" s="43">
        <v>4.8</v>
      </c>
      <c r="AB13" s="43">
        <v>18.399999999999999</v>
      </c>
      <c r="AC13" s="43">
        <v>20.7</v>
      </c>
      <c r="AD13" s="43">
        <v>7.2</v>
      </c>
      <c r="AE13" s="43">
        <v>7.7</v>
      </c>
      <c r="AF13" s="43">
        <v>11</v>
      </c>
      <c r="AG13" s="43">
        <v>11</v>
      </c>
      <c r="AH13" s="43">
        <v>12.3</v>
      </c>
      <c r="AI13" s="43">
        <v>11.9</v>
      </c>
      <c r="AJ13" s="43">
        <v>11.6</v>
      </c>
      <c r="AK13" s="43">
        <v>8.4</v>
      </c>
      <c r="AL13" s="43">
        <v>8</v>
      </c>
      <c r="AM13" s="43">
        <v>8.3000000000000007</v>
      </c>
      <c r="AN13" s="77">
        <v>7.1</v>
      </c>
    </row>
    <row r="14" spans="1:44" ht="13.5" customHeight="1" x14ac:dyDescent="0.2">
      <c r="A14" s="46" t="s">
        <v>84</v>
      </c>
      <c r="B14" s="47">
        <f t="shared" ref="B14:X14" si="2">SUM(B3:B13)</f>
        <v>2839.7999999999997</v>
      </c>
      <c r="C14" s="47">
        <f t="shared" si="2"/>
        <v>2863.9000000000005</v>
      </c>
      <c r="D14" s="47">
        <f t="shared" si="2"/>
        <v>2917.2000000000003</v>
      </c>
      <c r="E14" s="47">
        <f t="shared" si="2"/>
        <v>2976.7</v>
      </c>
      <c r="F14" s="47">
        <f t="shared" si="2"/>
        <v>2771.2999999999997</v>
      </c>
      <c r="G14" s="47">
        <f t="shared" si="2"/>
        <v>2766</v>
      </c>
      <c r="H14" s="47">
        <f t="shared" si="2"/>
        <v>2793.5</v>
      </c>
      <c r="I14" s="47">
        <f t="shared" si="2"/>
        <v>2911.2000000000003</v>
      </c>
      <c r="J14" s="47">
        <f t="shared" si="2"/>
        <v>2999</v>
      </c>
      <c r="K14" s="47">
        <f t="shared" si="2"/>
        <v>3018.9</v>
      </c>
      <c r="L14" s="47">
        <f t="shared" si="2"/>
        <v>3027.9999999999995</v>
      </c>
      <c r="M14" s="47">
        <f t="shared" si="2"/>
        <v>3054.8</v>
      </c>
      <c r="N14" s="47">
        <f t="shared" si="2"/>
        <v>2951.7000000000003</v>
      </c>
      <c r="O14" s="47">
        <f t="shared" si="2"/>
        <v>2905.7999999999997</v>
      </c>
      <c r="P14" s="47">
        <f t="shared" si="2"/>
        <v>2837.2000000000003</v>
      </c>
      <c r="Q14" s="47">
        <f t="shared" si="2"/>
        <v>2824.9</v>
      </c>
      <c r="R14" s="47">
        <f t="shared" si="2"/>
        <v>2797.4999999999995</v>
      </c>
      <c r="S14" s="47">
        <f t="shared" si="2"/>
        <v>2419.6</v>
      </c>
      <c r="T14" s="47">
        <f t="shared" si="2"/>
        <v>2358.0999999999995</v>
      </c>
      <c r="U14" s="47">
        <f t="shared" si="2"/>
        <v>2296.8000000000002</v>
      </c>
      <c r="V14" s="47">
        <f t="shared" si="2"/>
        <v>2185.6000000000004</v>
      </c>
      <c r="W14" s="47">
        <f>SUM(W3:W13)</f>
        <v>2271.6999999999994</v>
      </c>
      <c r="X14" s="47">
        <f t="shared" si="2"/>
        <v>2271.7000000000003</v>
      </c>
      <c r="Y14" s="47">
        <f t="shared" ref="Y14:Z14" si="3">SUM(Y3:Y13)</f>
        <v>2267.1</v>
      </c>
      <c r="Z14" s="47">
        <f t="shared" si="3"/>
        <v>2253.6</v>
      </c>
      <c r="AA14" s="47">
        <f t="shared" ref="AA14:AB14" si="4">SUM(AA3:AA13)</f>
        <v>2382.4</v>
      </c>
      <c r="AB14" s="47">
        <f t="shared" si="4"/>
        <v>2597.4</v>
      </c>
      <c r="AC14" s="47">
        <f t="shared" ref="AC14:AH14" si="5">SUM(AC3:AC13)</f>
        <v>2754.4</v>
      </c>
      <c r="AD14" s="47">
        <f t="shared" si="5"/>
        <v>2964.5</v>
      </c>
      <c r="AE14" s="47">
        <f t="shared" si="5"/>
        <v>2938.9000000000005</v>
      </c>
      <c r="AF14" s="47">
        <f t="shared" si="5"/>
        <v>3099.6000000000004</v>
      </c>
      <c r="AG14" s="47">
        <f t="shared" si="5"/>
        <v>3266.6000000000004</v>
      </c>
      <c r="AH14" s="47">
        <f t="shared" si="5"/>
        <v>3434.3000000000006</v>
      </c>
      <c r="AI14" s="47">
        <f t="shared" ref="AI14:AJ14" si="6">SUM(AI3:AI13)</f>
        <v>3332.6</v>
      </c>
      <c r="AJ14" s="47">
        <f t="shared" si="6"/>
        <v>3417.2000000000003</v>
      </c>
      <c r="AK14" s="47">
        <f t="shared" ref="AK14:AL14" si="7">SUM(AK3:AK13)</f>
        <v>3450.7</v>
      </c>
      <c r="AL14" s="47">
        <f t="shared" si="7"/>
        <v>3566.2</v>
      </c>
      <c r="AM14" s="47">
        <f>SUM(AM3:AM13)</f>
        <v>3488.7000000000003</v>
      </c>
      <c r="AN14" s="79">
        <f>SUM(AN3:AN13)</f>
        <v>3626.1999999999994</v>
      </c>
    </row>
    <row r="15" spans="1:44" ht="13.5" customHeight="1" x14ac:dyDescent="0.2">
      <c r="A15" s="48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80"/>
    </row>
    <row r="16" spans="1:44" ht="13.5" customHeight="1" x14ac:dyDescent="0.2">
      <c r="A16" s="42" t="s">
        <v>85</v>
      </c>
      <c r="B16" s="42">
        <v>6.7</v>
      </c>
      <c r="C16" s="44">
        <v>8</v>
      </c>
      <c r="D16" s="44">
        <v>10</v>
      </c>
      <c r="E16" s="44">
        <v>12.6</v>
      </c>
      <c r="F16" s="44">
        <v>13.9</v>
      </c>
      <c r="G16" s="44">
        <v>20.5</v>
      </c>
      <c r="H16" s="44">
        <v>26.2</v>
      </c>
      <c r="I16" s="44">
        <v>30.5</v>
      </c>
      <c r="J16" s="44">
        <v>31.8</v>
      </c>
      <c r="K16" s="44">
        <v>37.1</v>
      </c>
      <c r="L16" s="44">
        <v>44.4</v>
      </c>
      <c r="M16" s="44">
        <v>46.5</v>
      </c>
      <c r="N16" s="44">
        <v>63.8</v>
      </c>
      <c r="O16" s="44">
        <v>56.3</v>
      </c>
      <c r="P16" s="44">
        <v>56.7</v>
      </c>
      <c r="Q16" s="43">
        <v>62.7</v>
      </c>
      <c r="R16" s="43">
        <v>62.6</v>
      </c>
      <c r="S16" s="43">
        <v>50.7</v>
      </c>
      <c r="T16" s="43">
        <v>51.1</v>
      </c>
      <c r="U16" s="43">
        <v>55.4</v>
      </c>
      <c r="V16" s="43">
        <v>34.5</v>
      </c>
      <c r="W16" s="43">
        <v>34.4</v>
      </c>
      <c r="X16" s="43">
        <v>31.8</v>
      </c>
      <c r="Y16" s="43">
        <v>31.5</v>
      </c>
      <c r="Z16" s="43">
        <v>25.7</v>
      </c>
      <c r="AA16" s="43">
        <v>25.6</v>
      </c>
      <c r="AB16" s="43">
        <v>19.3</v>
      </c>
      <c r="AC16" s="43">
        <v>6.7</v>
      </c>
      <c r="AD16" s="43">
        <v>6.7</v>
      </c>
      <c r="AE16" s="43">
        <v>6.7</v>
      </c>
      <c r="AF16" s="43">
        <v>3.8</v>
      </c>
      <c r="AG16" s="43">
        <v>3.7</v>
      </c>
      <c r="AH16" s="43">
        <v>3.7</v>
      </c>
      <c r="AI16" s="43">
        <v>3.7</v>
      </c>
      <c r="AJ16" s="43">
        <v>3.7</v>
      </c>
      <c r="AK16" s="43">
        <v>3.6</v>
      </c>
      <c r="AL16" s="43">
        <v>3.7</v>
      </c>
      <c r="AM16" s="43">
        <v>0</v>
      </c>
      <c r="AN16" s="77">
        <v>0</v>
      </c>
    </row>
    <row r="17" spans="1:40" ht="13.5" customHeight="1" x14ac:dyDescent="0.2">
      <c r="A17" s="42" t="s">
        <v>86</v>
      </c>
      <c r="B17" s="42">
        <f>455.3+16.1</f>
        <v>471.40000000000003</v>
      </c>
      <c r="C17" s="44">
        <v>404.3</v>
      </c>
      <c r="D17" s="44">
        <v>366.2</v>
      </c>
      <c r="E17" s="44">
        <v>344.2</v>
      </c>
      <c r="F17" s="44">
        <v>475.7</v>
      </c>
      <c r="G17" s="44">
        <v>172.2</v>
      </c>
      <c r="H17" s="44">
        <v>175.3</v>
      </c>
      <c r="I17" s="44">
        <v>169</v>
      </c>
      <c r="J17" s="44">
        <v>245</v>
      </c>
      <c r="K17" s="44">
        <v>171.3</v>
      </c>
      <c r="L17" s="44">
        <v>175.20000000000002</v>
      </c>
      <c r="M17" s="44">
        <f t="shared" ref="M17" si="8">147+13.1</f>
        <v>160.1</v>
      </c>
      <c r="N17" s="44">
        <v>208.5</v>
      </c>
      <c r="O17" s="44">
        <v>247.9</v>
      </c>
      <c r="P17" s="44">
        <v>205.6</v>
      </c>
      <c r="Q17" s="43">
        <v>198.7</v>
      </c>
      <c r="R17" s="43">
        <v>258.10000000000002</v>
      </c>
      <c r="S17" s="43">
        <f>189.7+20</f>
        <v>209.7</v>
      </c>
      <c r="T17" s="43">
        <f>189.9-2.2</f>
        <v>187.70000000000002</v>
      </c>
      <c r="U17" s="43">
        <v>185.3</v>
      </c>
      <c r="V17" s="43">
        <v>224</v>
      </c>
      <c r="W17" s="43">
        <v>250.5</v>
      </c>
      <c r="X17" s="43">
        <v>256.39999999999998</v>
      </c>
      <c r="Y17" s="43">
        <v>247.3</v>
      </c>
      <c r="Z17" s="43">
        <v>309.7</v>
      </c>
      <c r="AA17" s="43">
        <v>197.5</v>
      </c>
      <c r="AB17" s="43">
        <v>192.4</v>
      </c>
      <c r="AC17" s="43">
        <v>197.5</v>
      </c>
      <c r="AD17" s="43">
        <v>281</v>
      </c>
      <c r="AE17" s="43">
        <v>293.3</v>
      </c>
      <c r="AF17" s="43">
        <v>257.39999999999998</v>
      </c>
      <c r="AG17" s="43">
        <v>282.60000000000002</v>
      </c>
      <c r="AH17" s="43">
        <v>152.4</v>
      </c>
      <c r="AI17" s="43">
        <v>174</v>
      </c>
      <c r="AJ17" s="43">
        <v>181.2</v>
      </c>
      <c r="AK17" s="43">
        <v>183.4</v>
      </c>
      <c r="AL17" s="43">
        <v>169.7</v>
      </c>
      <c r="AM17" s="43">
        <v>224.2</v>
      </c>
      <c r="AN17" s="77">
        <v>116.4</v>
      </c>
    </row>
    <row r="18" spans="1:40" ht="13.5" customHeight="1" x14ac:dyDescent="0.2">
      <c r="A18" s="42" t="s">
        <v>82</v>
      </c>
      <c r="B18" s="42">
        <v>0</v>
      </c>
      <c r="C18" s="44">
        <v>1.6</v>
      </c>
      <c r="D18" s="44">
        <v>1.9</v>
      </c>
      <c r="E18" s="44">
        <v>2.2000000000000002</v>
      </c>
      <c r="F18" s="44">
        <v>0.1</v>
      </c>
      <c r="G18" s="44">
        <v>0.3</v>
      </c>
      <c r="H18" s="44">
        <v>0.8</v>
      </c>
      <c r="I18" s="44">
        <v>2.2000000000000002</v>
      </c>
      <c r="J18" s="44">
        <v>1.5</v>
      </c>
      <c r="K18" s="44">
        <v>2.5</v>
      </c>
      <c r="L18" s="44">
        <v>0.5</v>
      </c>
      <c r="M18" s="44">
        <v>0.4</v>
      </c>
      <c r="N18" s="44">
        <v>0</v>
      </c>
      <c r="O18" s="44">
        <v>0.1</v>
      </c>
      <c r="P18" s="44">
        <v>0.2</v>
      </c>
      <c r="Q18" s="43">
        <v>0.3</v>
      </c>
      <c r="R18" s="43">
        <v>0.7</v>
      </c>
      <c r="S18" s="43">
        <v>0.8</v>
      </c>
      <c r="T18" s="43">
        <v>0.5</v>
      </c>
      <c r="U18" s="43">
        <v>0.9</v>
      </c>
      <c r="V18" s="43">
        <v>3.1</v>
      </c>
      <c r="W18" s="43">
        <v>2.1</v>
      </c>
      <c r="X18" s="43">
        <v>1.9</v>
      </c>
      <c r="Y18" s="43">
        <v>1.1000000000000001</v>
      </c>
      <c r="Z18" s="43">
        <v>3.4</v>
      </c>
      <c r="AA18" s="43">
        <v>2.6</v>
      </c>
      <c r="AB18" s="43">
        <v>0.6</v>
      </c>
      <c r="AC18" s="43">
        <v>5</v>
      </c>
      <c r="AD18" s="43">
        <v>16.100000000000001</v>
      </c>
      <c r="AE18" s="43">
        <v>8.1999999999999993</v>
      </c>
      <c r="AF18" s="43">
        <v>1.7</v>
      </c>
      <c r="AG18" s="43">
        <v>0.6</v>
      </c>
      <c r="AH18" s="43">
        <v>1.7</v>
      </c>
      <c r="AI18" s="43">
        <v>0.2</v>
      </c>
      <c r="AJ18" s="43">
        <v>0</v>
      </c>
      <c r="AK18" s="43">
        <v>0.5</v>
      </c>
      <c r="AL18" s="43">
        <v>0</v>
      </c>
      <c r="AM18" s="43">
        <v>0</v>
      </c>
      <c r="AN18" s="78">
        <v>0.6</v>
      </c>
    </row>
    <row r="19" spans="1:40" ht="13.5" customHeight="1" x14ac:dyDescent="0.2">
      <c r="A19" s="42" t="s">
        <v>87</v>
      </c>
      <c r="B19" s="42">
        <v>121.8</v>
      </c>
      <c r="C19" s="44">
        <v>109.9</v>
      </c>
      <c r="D19" s="44">
        <v>141.80000000000001</v>
      </c>
      <c r="E19" s="44">
        <v>113.1</v>
      </c>
      <c r="F19" s="44">
        <v>106.9</v>
      </c>
      <c r="G19" s="44">
        <v>379.1</v>
      </c>
      <c r="H19" s="44">
        <v>149</v>
      </c>
      <c r="I19" s="44">
        <v>148.6</v>
      </c>
      <c r="J19" s="44">
        <v>145.5</v>
      </c>
      <c r="K19" s="44">
        <v>162.69999999999999</v>
      </c>
      <c r="L19" s="44">
        <v>145</v>
      </c>
      <c r="M19" s="44">
        <v>145.4</v>
      </c>
      <c r="N19" s="44">
        <v>142.1</v>
      </c>
      <c r="O19" s="44">
        <v>177</v>
      </c>
      <c r="P19" s="44">
        <v>265.2</v>
      </c>
      <c r="Q19" s="43">
        <v>259.5</v>
      </c>
      <c r="R19" s="43">
        <v>250.2</v>
      </c>
      <c r="S19" s="43">
        <v>171.8</v>
      </c>
      <c r="T19" s="43">
        <v>206</v>
      </c>
      <c r="U19" s="43">
        <v>141.69999999999999</v>
      </c>
      <c r="V19" s="43">
        <v>139.6</v>
      </c>
      <c r="W19" s="43">
        <v>209.7</v>
      </c>
      <c r="X19" s="43">
        <v>202.6</v>
      </c>
      <c r="Y19" s="43">
        <v>243.4</v>
      </c>
      <c r="Z19" s="43">
        <v>274.2</v>
      </c>
      <c r="AA19" s="43">
        <v>267.5</v>
      </c>
      <c r="AB19" s="43">
        <v>251.5</v>
      </c>
      <c r="AC19" s="43">
        <v>277.7</v>
      </c>
      <c r="AD19" s="43">
        <v>230.3</v>
      </c>
      <c r="AE19" s="43">
        <v>289.39999999999998</v>
      </c>
      <c r="AF19" s="43">
        <v>224.1</v>
      </c>
      <c r="AG19" s="43">
        <v>246.4</v>
      </c>
      <c r="AH19" s="43">
        <v>361</v>
      </c>
      <c r="AI19" s="43">
        <v>401.4</v>
      </c>
      <c r="AJ19" s="43">
        <v>448</v>
      </c>
      <c r="AK19" s="43">
        <v>446.3</v>
      </c>
      <c r="AL19" s="43">
        <v>305.8</v>
      </c>
      <c r="AM19" s="43">
        <v>408.6</v>
      </c>
      <c r="AN19" s="77">
        <v>428.3</v>
      </c>
    </row>
    <row r="20" spans="1:40" ht="13.5" customHeight="1" x14ac:dyDescent="0.2">
      <c r="A20" s="42" t="s">
        <v>88</v>
      </c>
      <c r="B20" s="42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50.4</v>
      </c>
      <c r="O20" s="26">
        <v>24</v>
      </c>
      <c r="P20" s="26">
        <v>25.1</v>
      </c>
      <c r="Q20" s="26">
        <v>25.5</v>
      </c>
      <c r="R20" s="26">
        <v>0</v>
      </c>
      <c r="S20" s="26">
        <v>0</v>
      </c>
      <c r="T20" s="26">
        <v>0</v>
      </c>
      <c r="U20" s="26">
        <v>0</v>
      </c>
      <c r="V20" s="26">
        <v>0</v>
      </c>
      <c r="W20" s="26">
        <v>15.4</v>
      </c>
      <c r="X20" s="26">
        <v>0</v>
      </c>
      <c r="Y20" s="26">
        <v>0</v>
      </c>
      <c r="Z20" s="26">
        <v>143.1</v>
      </c>
      <c r="AA20" s="26">
        <v>130.70000000000002</v>
      </c>
      <c r="AB20" s="26">
        <v>0</v>
      </c>
      <c r="AC20" s="26">
        <v>0</v>
      </c>
      <c r="AD20" s="26">
        <v>0</v>
      </c>
      <c r="AE20" s="26">
        <v>0</v>
      </c>
      <c r="AF20" s="26">
        <v>15</v>
      </c>
      <c r="AG20" s="26">
        <v>0</v>
      </c>
      <c r="AH20" s="26">
        <v>0</v>
      </c>
      <c r="AI20" s="26">
        <v>7</v>
      </c>
      <c r="AJ20" s="26">
        <v>0</v>
      </c>
      <c r="AK20" s="26">
        <v>0</v>
      </c>
      <c r="AL20" s="26">
        <v>0</v>
      </c>
      <c r="AM20" s="26">
        <v>0</v>
      </c>
      <c r="AN20" s="28">
        <v>0</v>
      </c>
    </row>
    <row r="21" spans="1:40" ht="13.5" customHeight="1" x14ac:dyDescent="0.2">
      <c r="A21" s="46" t="s">
        <v>89</v>
      </c>
      <c r="B21" s="47">
        <f t="shared" ref="B21:AM21" si="9">SUM(B16:B20)</f>
        <v>599.9</v>
      </c>
      <c r="C21" s="47">
        <f t="shared" si="9"/>
        <v>523.80000000000007</v>
      </c>
      <c r="D21" s="47">
        <f t="shared" si="9"/>
        <v>519.9</v>
      </c>
      <c r="E21" s="47">
        <f t="shared" si="9"/>
        <v>472.1</v>
      </c>
      <c r="F21" s="47">
        <f t="shared" si="9"/>
        <v>596.6</v>
      </c>
      <c r="G21" s="47">
        <f t="shared" si="9"/>
        <v>572.1</v>
      </c>
      <c r="H21" s="47">
        <f t="shared" si="9"/>
        <v>351.3</v>
      </c>
      <c r="I21" s="47">
        <f t="shared" si="9"/>
        <v>350.29999999999995</v>
      </c>
      <c r="J21" s="47">
        <f t="shared" si="9"/>
        <v>423.8</v>
      </c>
      <c r="K21" s="47">
        <f t="shared" si="9"/>
        <v>373.6</v>
      </c>
      <c r="L21" s="47">
        <f t="shared" si="9"/>
        <v>365.1</v>
      </c>
      <c r="M21" s="47">
        <f t="shared" si="9"/>
        <v>352.4</v>
      </c>
      <c r="N21" s="47">
        <f t="shared" si="9"/>
        <v>464.79999999999995</v>
      </c>
      <c r="O21" s="47">
        <f t="shared" si="9"/>
        <v>505.3</v>
      </c>
      <c r="P21" s="47">
        <f t="shared" si="9"/>
        <v>552.80000000000007</v>
      </c>
      <c r="Q21" s="47">
        <f t="shared" si="9"/>
        <v>546.70000000000005</v>
      </c>
      <c r="R21" s="47">
        <f t="shared" si="9"/>
        <v>571.6</v>
      </c>
      <c r="S21" s="47">
        <f t="shared" si="9"/>
        <v>433</v>
      </c>
      <c r="T21" s="47">
        <f t="shared" si="9"/>
        <v>445.3</v>
      </c>
      <c r="U21" s="47">
        <f t="shared" si="9"/>
        <v>383.3</v>
      </c>
      <c r="V21" s="47">
        <f t="shared" si="9"/>
        <v>401.20000000000005</v>
      </c>
      <c r="W21" s="47">
        <f t="shared" si="9"/>
        <v>512.1</v>
      </c>
      <c r="X21" s="47">
        <f t="shared" si="9"/>
        <v>492.69999999999993</v>
      </c>
      <c r="Y21" s="47">
        <f t="shared" si="9"/>
        <v>523.30000000000007</v>
      </c>
      <c r="Z21" s="47">
        <f t="shared" si="9"/>
        <v>756.1</v>
      </c>
      <c r="AA21" s="47">
        <f t="shared" si="9"/>
        <v>623.9</v>
      </c>
      <c r="AB21" s="47">
        <f t="shared" si="9"/>
        <v>463.8</v>
      </c>
      <c r="AC21" s="47">
        <f t="shared" si="9"/>
        <v>486.9</v>
      </c>
      <c r="AD21" s="47">
        <f t="shared" si="9"/>
        <v>534.1</v>
      </c>
      <c r="AE21" s="47">
        <f t="shared" si="9"/>
        <v>597.59999999999991</v>
      </c>
      <c r="AF21" s="47">
        <f t="shared" si="9"/>
        <v>502</v>
      </c>
      <c r="AG21" s="47">
        <f t="shared" si="9"/>
        <v>533.30000000000007</v>
      </c>
      <c r="AH21" s="47">
        <f t="shared" si="9"/>
        <v>518.79999999999995</v>
      </c>
      <c r="AI21" s="47">
        <f t="shared" si="9"/>
        <v>586.29999999999995</v>
      </c>
      <c r="AJ21" s="47">
        <f t="shared" si="9"/>
        <v>632.9</v>
      </c>
      <c r="AK21" s="47">
        <f t="shared" si="9"/>
        <v>633.79999999999995</v>
      </c>
      <c r="AL21" s="47">
        <f t="shared" si="9"/>
        <v>479.2</v>
      </c>
      <c r="AM21" s="47">
        <f t="shared" si="9"/>
        <v>632.79999999999995</v>
      </c>
      <c r="AN21" s="79">
        <f t="shared" ref="AN21" si="10">SUM(AN16:AN20)</f>
        <v>545.29999999999995</v>
      </c>
    </row>
    <row r="22" spans="1:40" ht="13.5" customHeight="1" x14ac:dyDescent="0.2">
      <c r="A22" s="50"/>
      <c r="B22" s="50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81"/>
    </row>
    <row r="23" spans="1:40" ht="13.5" customHeight="1" x14ac:dyDescent="0.2">
      <c r="A23" s="46" t="s">
        <v>90</v>
      </c>
      <c r="B23" s="47">
        <f t="shared" ref="B23:AM23" si="11">B21+B14</f>
        <v>3439.7</v>
      </c>
      <c r="C23" s="47">
        <f t="shared" si="11"/>
        <v>3387.7000000000007</v>
      </c>
      <c r="D23" s="47">
        <f t="shared" si="11"/>
        <v>3437.1000000000004</v>
      </c>
      <c r="E23" s="47">
        <f t="shared" si="11"/>
        <v>3448.7999999999997</v>
      </c>
      <c r="F23" s="47">
        <f t="shared" si="11"/>
        <v>3367.8999999999996</v>
      </c>
      <c r="G23" s="47">
        <f t="shared" si="11"/>
        <v>3338.1</v>
      </c>
      <c r="H23" s="47">
        <f t="shared" si="11"/>
        <v>3144.8</v>
      </c>
      <c r="I23" s="47">
        <f t="shared" si="11"/>
        <v>3261.5</v>
      </c>
      <c r="J23" s="47">
        <f t="shared" si="11"/>
        <v>3422.8</v>
      </c>
      <c r="K23" s="47">
        <f t="shared" si="11"/>
        <v>3392.5</v>
      </c>
      <c r="L23" s="47">
        <f t="shared" si="11"/>
        <v>3393.0999999999995</v>
      </c>
      <c r="M23" s="47">
        <f t="shared" si="11"/>
        <v>3407.2000000000003</v>
      </c>
      <c r="N23" s="47">
        <f t="shared" si="11"/>
        <v>3416.5</v>
      </c>
      <c r="O23" s="47">
        <f t="shared" si="11"/>
        <v>3411.1</v>
      </c>
      <c r="P23" s="47">
        <f t="shared" si="11"/>
        <v>3390.0000000000005</v>
      </c>
      <c r="Q23" s="47">
        <f t="shared" si="11"/>
        <v>3371.6000000000004</v>
      </c>
      <c r="R23" s="47">
        <f t="shared" si="11"/>
        <v>3369.0999999999995</v>
      </c>
      <c r="S23" s="47">
        <f t="shared" si="11"/>
        <v>2852.6</v>
      </c>
      <c r="T23" s="47">
        <f t="shared" si="11"/>
        <v>2803.3999999999996</v>
      </c>
      <c r="U23" s="47">
        <f t="shared" si="11"/>
        <v>2680.1000000000004</v>
      </c>
      <c r="V23" s="47">
        <f t="shared" si="11"/>
        <v>2586.8000000000002</v>
      </c>
      <c r="W23" s="47">
        <f t="shared" si="11"/>
        <v>2783.7999999999993</v>
      </c>
      <c r="X23" s="47">
        <f t="shared" si="11"/>
        <v>2764.4</v>
      </c>
      <c r="Y23" s="47">
        <f t="shared" si="11"/>
        <v>2790.4</v>
      </c>
      <c r="Z23" s="47">
        <f t="shared" si="11"/>
        <v>3009.7</v>
      </c>
      <c r="AA23" s="47">
        <f t="shared" si="11"/>
        <v>3006.3</v>
      </c>
      <c r="AB23" s="47">
        <f t="shared" si="11"/>
        <v>3061.2000000000003</v>
      </c>
      <c r="AC23" s="47">
        <f t="shared" si="11"/>
        <v>3241.3</v>
      </c>
      <c r="AD23" s="47">
        <f t="shared" si="11"/>
        <v>3498.6</v>
      </c>
      <c r="AE23" s="47">
        <f t="shared" si="11"/>
        <v>3536.5000000000005</v>
      </c>
      <c r="AF23" s="47">
        <f t="shared" si="11"/>
        <v>3601.6000000000004</v>
      </c>
      <c r="AG23" s="47">
        <f t="shared" si="11"/>
        <v>3799.9000000000005</v>
      </c>
      <c r="AH23" s="47">
        <f t="shared" si="11"/>
        <v>3953.1000000000004</v>
      </c>
      <c r="AI23" s="47">
        <f t="shared" si="11"/>
        <v>3918.8999999999996</v>
      </c>
      <c r="AJ23" s="47">
        <f t="shared" si="11"/>
        <v>4050.1000000000004</v>
      </c>
      <c r="AK23" s="47">
        <f t="shared" si="11"/>
        <v>4084.5</v>
      </c>
      <c r="AL23" s="47">
        <f t="shared" si="11"/>
        <v>4045.3999999999996</v>
      </c>
      <c r="AM23" s="47">
        <f t="shared" si="11"/>
        <v>4121.5</v>
      </c>
      <c r="AN23" s="79">
        <f t="shared" ref="AN23" si="12">AN21+AN14</f>
        <v>4171.4999999999991</v>
      </c>
    </row>
    <row r="24" spans="1:40" ht="13.5" customHeight="1" x14ac:dyDescent="0.2">
      <c r="A24" s="42"/>
      <c r="B24" s="4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</row>
    <row r="25" spans="1:40" ht="13.5" customHeight="1" x14ac:dyDescent="0.2">
      <c r="A25" s="95" t="s">
        <v>91</v>
      </c>
      <c r="B25" s="95"/>
      <c r="C25" s="134">
        <f t="shared" ref="C25:AL25" si="13">+C2</f>
        <v>42460</v>
      </c>
      <c r="D25" s="134">
        <f t="shared" si="13"/>
        <v>42551</v>
      </c>
      <c r="E25" s="134">
        <f t="shared" si="13"/>
        <v>42643</v>
      </c>
      <c r="F25" s="134">
        <f t="shared" si="13"/>
        <v>42735</v>
      </c>
      <c r="G25" s="134">
        <f t="shared" si="13"/>
        <v>42825</v>
      </c>
      <c r="H25" s="134">
        <f t="shared" si="13"/>
        <v>42916</v>
      </c>
      <c r="I25" s="134">
        <f t="shared" si="13"/>
        <v>43008</v>
      </c>
      <c r="J25" s="134">
        <f t="shared" si="13"/>
        <v>43100</v>
      </c>
      <c r="K25" s="134">
        <f t="shared" si="13"/>
        <v>43190</v>
      </c>
      <c r="L25" s="134">
        <f t="shared" si="13"/>
        <v>43281</v>
      </c>
      <c r="M25" s="134">
        <f t="shared" si="13"/>
        <v>43373</v>
      </c>
      <c r="N25" s="134">
        <f t="shared" si="13"/>
        <v>43465</v>
      </c>
      <c r="O25" s="134">
        <f t="shared" si="13"/>
        <v>43555</v>
      </c>
      <c r="P25" s="134">
        <f t="shared" si="13"/>
        <v>43646</v>
      </c>
      <c r="Q25" s="134">
        <f t="shared" si="13"/>
        <v>43738</v>
      </c>
      <c r="R25" s="134">
        <f t="shared" si="13"/>
        <v>43830</v>
      </c>
      <c r="S25" s="134">
        <f t="shared" si="13"/>
        <v>43921</v>
      </c>
      <c r="T25" s="134">
        <f t="shared" si="13"/>
        <v>44012</v>
      </c>
      <c r="U25" s="134">
        <f t="shared" si="13"/>
        <v>44104</v>
      </c>
      <c r="V25" s="134">
        <f t="shared" si="13"/>
        <v>44196</v>
      </c>
      <c r="W25" s="134">
        <f t="shared" si="13"/>
        <v>44286</v>
      </c>
      <c r="X25" s="134">
        <f t="shared" si="13"/>
        <v>44377</v>
      </c>
      <c r="Y25" s="134">
        <f t="shared" si="13"/>
        <v>44469</v>
      </c>
      <c r="Z25" s="134">
        <f t="shared" si="13"/>
        <v>44561</v>
      </c>
      <c r="AA25" s="134">
        <f t="shared" si="13"/>
        <v>44651</v>
      </c>
      <c r="AB25" s="134">
        <f t="shared" si="13"/>
        <v>44742</v>
      </c>
      <c r="AC25" s="134">
        <f t="shared" si="13"/>
        <v>44834</v>
      </c>
      <c r="AD25" s="134">
        <f t="shared" si="13"/>
        <v>44926</v>
      </c>
      <c r="AE25" s="134">
        <f t="shared" si="13"/>
        <v>45016</v>
      </c>
      <c r="AF25" s="134">
        <f t="shared" si="13"/>
        <v>45107</v>
      </c>
      <c r="AG25" s="134">
        <f t="shared" si="13"/>
        <v>45199</v>
      </c>
      <c r="AH25" s="134">
        <f t="shared" si="13"/>
        <v>45291</v>
      </c>
      <c r="AI25" s="134">
        <f t="shared" si="13"/>
        <v>45382</v>
      </c>
      <c r="AJ25" s="134">
        <f t="shared" si="13"/>
        <v>45473</v>
      </c>
      <c r="AK25" s="134">
        <f t="shared" si="13"/>
        <v>45565</v>
      </c>
      <c r="AL25" s="134">
        <f t="shared" si="13"/>
        <v>45657</v>
      </c>
      <c r="AM25" s="134">
        <v>45747</v>
      </c>
      <c r="AN25" s="134">
        <v>45838</v>
      </c>
    </row>
    <row r="26" spans="1:40" ht="13.5" customHeight="1" x14ac:dyDescent="0.2">
      <c r="A26" s="42" t="s">
        <v>92</v>
      </c>
      <c r="B26" s="42">
        <v>944.4</v>
      </c>
      <c r="C26" s="43">
        <v>948.7</v>
      </c>
      <c r="D26" s="43">
        <v>950.4</v>
      </c>
      <c r="E26" s="43">
        <v>1038.4000000000001</v>
      </c>
      <c r="F26" s="43">
        <v>919.9</v>
      </c>
      <c r="G26" s="43">
        <v>910.1</v>
      </c>
      <c r="H26" s="43">
        <v>918.8</v>
      </c>
      <c r="I26" s="43">
        <v>925.7</v>
      </c>
      <c r="J26" s="43">
        <v>971.5</v>
      </c>
      <c r="K26" s="43">
        <v>987.6</v>
      </c>
      <c r="L26" s="43">
        <v>975.9</v>
      </c>
      <c r="M26" s="43">
        <f t="shared" ref="M26" si="14">985.6-0.2+2</f>
        <v>987.4</v>
      </c>
      <c r="N26" s="43">
        <v>995.6</v>
      </c>
      <c r="O26" s="43">
        <v>1019.8</v>
      </c>
      <c r="P26" s="43">
        <v>1045.5999999999999</v>
      </c>
      <c r="Q26" s="43">
        <v>1049.3</v>
      </c>
      <c r="R26" s="43">
        <v>1119.5999999999999</v>
      </c>
      <c r="S26" s="43">
        <f>783.1+20-14.3-4.1-2.4+1.2-3.4</f>
        <v>780.10000000000014</v>
      </c>
      <c r="T26" s="43">
        <f>793.4-2.2</f>
        <v>791.19999999999993</v>
      </c>
      <c r="U26" s="43">
        <v>797.2</v>
      </c>
      <c r="V26" s="43">
        <f>750-3.5</f>
        <v>746.5</v>
      </c>
      <c r="W26" s="43">
        <v>833.8</v>
      </c>
      <c r="X26" s="43">
        <f>837.6-0.9</f>
        <v>836.7</v>
      </c>
      <c r="Y26" s="43">
        <f>832.4-0.5</f>
        <v>831.9</v>
      </c>
      <c r="Z26" s="43">
        <f>758+9.3+6.2</f>
        <v>773.5</v>
      </c>
      <c r="AA26" s="43">
        <v>841.6</v>
      </c>
      <c r="AB26" s="43">
        <v>855.3</v>
      </c>
      <c r="AC26" s="43">
        <v>883.4</v>
      </c>
      <c r="AD26" s="43">
        <v>938.5</v>
      </c>
      <c r="AE26" s="43">
        <v>939.2</v>
      </c>
      <c r="AF26" s="43">
        <v>953.1</v>
      </c>
      <c r="AG26" s="43">
        <v>992.5</v>
      </c>
      <c r="AH26" s="43">
        <v>1005.6</v>
      </c>
      <c r="AI26" s="43">
        <v>1037.5</v>
      </c>
      <c r="AJ26" s="43">
        <v>1057.2</v>
      </c>
      <c r="AK26" s="43">
        <v>1041</v>
      </c>
      <c r="AL26" s="43">
        <v>1089.8</v>
      </c>
      <c r="AM26" s="43">
        <v>1119.3</v>
      </c>
      <c r="AN26" s="77">
        <v>1130</v>
      </c>
    </row>
    <row r="27" spans="1:40" ht="13.5" customHeight="1" x14ac:dyDescent="0.2">
      <c r="A27" s="42" t="s">
        <v>93</v>
      </c>
      <c r="B27" s="42"/>
      <c r="C27" s="68">
        <v>0</v>
      </c>
      <c r="D27" s="68">
        <v>0</v>
      </c>
      <c r="E27" s="68">
        <v>0</v>
      </c>
      <c r="F27" s="68">
        <v>0</v>
      </c>
      <c r="G27" s="68">
        <v>0</v>
      </c>
      <c r="H27" s="68">
        <v>15.8</v>
      </c>
      <c r="I27" s="68">
        <v>15.7</v>
      </c>
      <c r="J27" s="68">
        <v>287.89999999999998</v>
      </c>
      <c r="K27" s="44">
        <v>281.8</v>
      </c>
      <c r="L27" s="44">
        <v>286</v>
      </c>
      <c r="M27" s="44">
        <v>281.3</v>
      </c>
      <c r="N27" s="44">
        <v>325.3</v>
      </c>
      <c r="O27" s="44">
        <v>330.3</v>
      </c>
      <c r="P27" s="44">
        <v>327.8</v>
      </c>
      <c r="Q27" s="43">
        <v>324.8</v>
      </c>
      <c r="R27" s="43">
        <v>338.9</v>
      </c>
      <c r="S27" s="43">
        <v>219.1</v>
      </c>
      <c r="T27" s="43">
        <v>213.3</v>
      </c>
      <c r="U27" s="43">
        <v>207.6</v>
      </c>
      <c r="V27" s="43">
        <v>198.5</v>
      </c>
      <c r="W27" s="43">
        <v>271.7</v>
      </c>
      <c r="X27" s="43">
        <f>267.7-0.7</f>
        <v>267</v>
      </c>
      <c r="Y27" s="43">
        <v>257.60000000000002</v>
      </c>
      <c r="Z27" s="43">
        <v>247.9</v>
      </c>
      <c r="AA27" s="43">
        <v>237.7</v>
      </c>
      <c r="AB27" s="43">
        <v>222.5</v>
      </c>
      <c r="AC27" s="43">
        <v>212.2</v>
      </c>
      <c r="AD27" s="43">
        <v>212.6</v>
      </c>
      <c r="AE27" s="43">
        <v>205.2</v>
      </c>
      <c r="AF27" s="43">
        <v>197.2</v>
      </c>
      <c r="AG27" s="43">
        <v>187.3</v>
      </c>
      <c r="AH27" s="43">
        <v>189.7</v>
      </c>
      <c r="AI27" s="43">
        <v>180.9</v>
      </c>
      <c r="AJ27" s="43">
        <v>173.3</v>
      </c>
      <c r="AK27" s="43">
        <v>167.6</v>
      </c>
      <c r="AL27" s="43">
        <v>156.80000000000001</v>
      </c>
      <c r="AM27" s="43">
        <v>152.4</v>
      </c>
      <c r="AN27" s="77">
        <v>149.30000000000001</v>
      </c>
    </row>
    <row r="28" spans="1:40" ht="13.5" customHeight="1" x14ac:dyDescent="0.2">
      <c r="A28" s="46" t="s">
        <v>94</v>
      </c>
      <c r="B28" s="47">
        <f t="shared" ref="B28:E28" si="15">SUM(B26:B27)</f>
        <v>944.4</v>
      </c>
      <c r="C28" s="47">
        <f t="shared" si="15"/>
        <v>948.7</v>
      </c>
      <c r="D28" s="47">
        <f t="shared" si="15"/>
        <v>950.4</v>
      </c>
      <c r="E28" s="47">
        <f t="shared" si="15"/>
        <v>1038.4000000000001</v>
      </c>
      <c r="F28" s="47">
        <f t="shared" ref="F28:M28" si="16">SUM(F26:F27)</f>
        <v>919.9</v>
      </c>
      <c r="G28" s="47">
        <f t="shared" si="16"/>
        <v>910.1</v>
      </c>
      <c r="H28" s="47">
        <f t="shared" si="16"/>
        <v>934.59999999999991</v>
      </c>
      <c r="I28" s="47">
        <f t="shared" si="16"/>
        <v>941.40000000000009</v>
      </c>
      <c r="J28" s="47">
        <f t="shared" si="16"/>
        <v>1259.4000000000001</v>
      </c>
      <c r="K28" s="47">
        <f t="shared" si="16"/>
        <v>1269.4000000000001</v>
      </c>
      <c r="L28" s="47">
        <f t="shared" si="16"/>
        <v>1261.9000000000001</v>
      </c>
      <c r="M28" s="47">
        <f t="shared" si="16"/>
        <v>1268.7</v>
      </c>
      <c r="N28" s="47">
        <f t="shared" ref="N28:Q28" si="17">SUM(N26:N27)</f>
        <v>1320.9</v>
      </c>
      <c r="O28" s="47">
        <f t="shared" si="17"/>
        <v>1350.1</v>
      </c>
      <c r="P28" s="47">
        <f t="shared" si="17"/>
        <v>1373.3999999999999</v>
      </c>
      <c r="Q28" s="47">
        <f t="shared" si="17"/>
        <v>1374.1</v>
      </c>
      <c r="R28" s="47">
        <f t="shared" ref="R28:S28" si="18">SUM(R26:R27)</f>
        <v>1458.5</v>
      </c>
      <c r="S28" s="47">
        <f t="shared" si="18"/>
        <v>999.20000000000016</v>
      </c>
      <c r="T28" s="47">
        <f t="shared" ref="T28:U28" si="19">SUM(T26:T27)</f>
        <v>1004.5</v>
      </c>
      <c r="U28" s="47">
        <f t="shared" si="19"/>
        <v>1004.8000000000001</v>
      </c>
      <c r="V28" s="47">
        <f t="shared" ref="V28:W28" si="20">SUM(V26:V27)</f>
        <v>945</v>
      </c>
      <c r="W28" s="47">
        <f t="shared" si="20"/>
        <v>1105.5</v>
      </c>
      <c r="X28" s="47">
        <f t="shared" ref="X28:Y28" si="21">SUM(X26:X27)</f>
        <v>1103.7</v>
      </c>
      <c r="Y28" s="47">
        <f t="shared" si="21"/>
        <v>1089.5</v>
      </c>
      <c r="Z28" s="47">
        <f t="shared" ref="Z28:AA28" si="22">SUM(Z26:Z27)</f>
        <v>1021.4</v>
      </c>
      <c r="AA28" s="47">
        <f t="shared" si="22"/>
        <v>1079.3</v>
      </c>
      <c r="AB28" s="47">
        <f t="shared" ref="AB28:AC28" si="23">SUM(AB26:AB27)</f>
        <v>1077.8</v>
      </c>
      <c r="AC28" s="47">
        <f t="shared" si="23"/>
        <v>1095.5999999999999</v>
      </c>
      <c r="AD28" s="47">
        <f t="shared" ref="AD28:AE28" si="24">SUM(AD26:AD27)</f>
        <v>1151.0999999999999</v>
      </c>
      <c r="AE28" s="47">
        <f t="shared" si="24"/>
        <v>1144.4000000000001</v>
      </c>
      <c r="AF28" s="47">
        <f t="shared" ref="AF28:AG28" si="25">SUM(AF26:AF27)</f>
        <v>1150.3</v>
      </c>
      <c r="AG28" s="47">
        <f t="shared" si="25"/>
        <v>1179.8</v>
      </c>
      <c r="AH28" s="47">
        <f t="shared" ref="AH28:AI28" si="26">SUM(AH26:AH27)</f>
        <v>1195.3</v>
      </c>
      <c r="AI28" s="47">
        <f t="shared" si="26"/>
        <v>1218.4000000000001</v>
      </c>
      <c r="AJ28" s="47">
        <f t="shared" ref="AJ28:AK28" si="27">SUM(AJ26:AJ27)</f>
        <v>1230.5</v>
      </c>
      <c r="AK28" s="47">
        <f t="shared" si="27"/>
        <v>1208.5999999999999</v>
      </c>
      <c r="AL28" s="47">
        <f t="shared" ref="AL28" si="28">SUM(AL26:AL27)</f>
        <v>1246.5999999999999</v>
      </c>
      <c r="AM28" s="47">
        <f>SUM(AM26:AM27)</f>
        <v>1271.7</v>
      </c>
      <c r="AN28" s="79">
        <f>SUM(AN26:AN27)</f>
        <v>1279.3</v>
      </c>
    </row>
    <row r="29" spans="1:40" ht="13.5" customHeight="1" x14ac:dyDescent="0.2">
      <c r="A29" s="48"/>
      <c r="B29" s="48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80"/>
    </row>
    <row r="30" spans="1:40" ht="13.5" customHeight="1" x14ac:dyDescent="0.2">
      <c r="A30" s="42" t="s">
        <v>95</v>
      </c>
      <c r="B30" s="42">
        <v>1460.8</v>
      </c>
      <c r="C30" s="44">
        <v>1405</v>
      </c>
      <c r="D30" s="44">
        <v>1471</v>
      </c>
      <c r="E30" s="44">
        <v>1576.5</v>
      </c>
      <c r="F30" s="44">
        <v>1567.4</v>
      </c>
      <c r="G30" s="44">
        <v>1577.4</v>
      </c>
      <c r="H30" s="44">
        <v>1398.3</v>
      </c>
      <c r="I30" s="44">
        <v>1438.2</v>
      </c>
      <c r="J30" s="44">
        <v>1198</v>
      </c>
      <c r="K30" s="44">
        <v>1117.0999999999999</v>
      </c>
      <c r="L30" s="44">
        <v>1103</v>
      </c>
      <c r="M30" s="44">
        <v>1118.2</v>
      </c>
      <c r="N30" s="44">
        <v>1112.8</v>
      </c>
      <c r="O30" s="44">
        <v>826.4</v>
      </c>
      <c r="P30" s="44">
        <v>1135.9000000000001</v>
      </c>
      <c r="Q30" s="43">
        <v>1025.8</v>
      </c>
      <c r="R30" s="43">
        <v>1025.7</v>
      </c>
      <c r="S30" s="43">
        <v>1120.5</v>
      </c>
      <c r="T30" s="43">
        <v>1101.5</v>
      </c>
      <c r="U30" s="43">
        <v>999.8</v>
      </c>
      <c r="V30" s="43">
        <v>958</v>
      </c>
      <c r="W30" s="43">
        <v>1020.4</v>
      </c>
      <c r="X30" s="43">
        <v>937.5</v>
      </c>
      <c r="Y30" s="43">
        <f>930.4+0.4</f>
        <v>930.8</v>
      </c>
      <c r="Z30" s="43">
        <f>1005.5-198.1</f>
        <v>807.4</v>
      </c>
      <c r="AA30" s="43">
        <v>758.3</v>
      </c>
      <c r="AB30" s="43">
        <v>663</v>
      </c>
      <c r="AC30" s="43">
        <v>628</v>
      </c>
      <c r="AD30" s="43">
        <v>522.4</v>
      </c>
      <c r="AE30" s="43">
        <v>458.9</v>
      </c>
      <c r="AF30" s="43">
        <v>280.89999999999998</v>
      </c>
      <c r="AG30" s="43">
        <v>342.4</v>
      </c>
      <c r="AH30" s="43">
        <v>290.7</v>
      </c>
      <c r="AI30" s="43">
        <v>220.3</v>
      </c>
      <c r="AJ30" s="43">
        <v>207.7</v>
      </c>
      <c r="AK30" s="43">
        <v>194.5</v>
      </c>
      <c r="AL30" s="43">
        <v>173.9</v>
      </c>
      <c r="AM30" s="43">
        <v>166.8</v>
      </c>
      <c r="AN30" s="77">
        <v>157.30000000000001</v>
      </c>
    </row>
    <row r="31" spans="1:40" s="133" customFormat="1" ht="13.5" customHeight="1" x14ac:dyDescent="0.2">
      <c r="A31" s="42" t="s">
        <v>96</v>
      </c>
      <c r="B31" s="42"/>
      <c r="C31" s="132">
        <v>0</v>
      </c>
      <c r="D31" s="132">
        <v>0</v>
      </c>
      <c r="E31" s="132">
        <v>0</v>
      </c>
      <c r="F31" s="132">
        <v>0</v>
      </c>
      <c r="G31" s="132">
        <v>0</v>
      </c>
      <c r="H31" s="132">
        <v>0</v>
      </c>
      <c r="I31" s="132">
        <v>0</v>
      </c>
      <c r="J31" s="132">
        <v>0</v>
      </c>
      <c r="K31" s="132">
        <v>0</v>
      </c>
      <c r="L31" s="132">
        <v>0</v>
      </c>
      <c r="M31" s="132">
        <v>0</v>
      </c>
      <c r="N31" s="132">
        <v>0</v>
      </c>
      <c r="O31" s="132">
        <v>0</v>
      </c>
      <c r="P31" s="132">
        <v>0</v>
      </c>
      <c r="Q31" s="132">
        <v>0</v>
      </c>
      <c r="R31" s="132">
        <v>0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0</v>
      </c>
      <c r="Y31" s="26">
        <v>0</v>
      </c>
      <c r="Z31" s="43">
        <v>198.1</v>
      </c>
      <c r="AA31" s="43">
        <v>272</v>
      </c>
      <c r="AB31" s="43">
        <v>400</v>
      </c>
      <c r="AC31" s="43">
        <v>491.8</v>
      </c>
      <c r="AD31" s="43">
        <v>526.1</v>
      </c>
      <c r="AE31" s="43">
        <v>632.6</v>
      </c>
      <c r="AF31" s="43">
        <v>789.2</v>
      </c>
      <c r="AG31" s="43">
        <v>955.3</v>
      </c>
      <c r="AH31" s="43">
        <v>1022.1</v>
      </c>
      <c r="AI31" s="43">
        <v>1093.2</v>
      </c>
      <c r="AJ31" s="43">
        <v>1196.2</v>
      </c>
      <c r="AK31" s="43">
        <v>1266.5999999999999</v>
      </c>
      <c r="AL31" s="43">
        <v>1347.4</v>
      </c>
      <c r="AM31" s="43">
        <v>1409.2</v>
      </c>
      <c r="AN31" s="77">
        <v>1408.1</v>
      </c>
    </row>
    <row r="32" spans="1:40" ht="12.75" x14ac:dyDescent="0.2">
      <c r="A32" s="42" t="s">
        <v>97</v>
      </c>
      <c r="B32" s="42">
        <v>12.1</v>
      </c>
      <c r="C32" s="43">
        <v>12.3</v>
      </c>
      <c r="D32" s="43">
        <v>12.4</v>
      </c>
      <c r="E32" s="43">
        <v>3.9</v>
      </c>
      <c r="F32" s="43">
        <v>3.6</v>
      </c>
      <c r="G32" s="43">
        <v>3.8</v>
      </c>
      <c r="H32" s="43">
        <v>4.0999999999999996</v>
      </c>
      <c r="I32" s="43">
        <v>4.4000000000000004</v>
      </c>
      <c r="J32" s="43">
        <v>4.2</v>
      </c>
      <c r="K32" s="43">
        <v>4.3</v>
      </c>
      <c r="L32" s="43">
        <v>4.3</v>
      </c>
      <c r="M32" s="43">
        <v>4.3</v>
      </c>
      <c r="N32" s="43">
        <v>4.6000000000000005</v>
      </c>
      <c r="O32" s="43">
        <v>4.5</v>
      </c>
      <c r="P32" s="43">
        <v>4.7</v>
      </c>
      <c r="Q32" s="43">
        <v>4.3</v>
      </c>
      <c r="R32" s="43">
        <v>5.3</v>
      </c>
      <c r="S32" s="43">
        <v>4.4000000000000004</v>
      </c>
      <c r="T32" s="43">
        <v>5</v>
      </c>
      <c r="U32" s="43">
        <v>5</v>
      </c>
      <c r="V32" s="43">
        <v>6</v>
      </c>
      <c r="W32" s="43">
        <v>6.2</v>
      </c>
      <c r="X32" s="43">
        <v>6.2</v>
      </c>
      <c r="Y32" s="43">
        <v>6.2</v>
      </c>
      <c r="Z32" s="43">
        <v>5.2</v>
      </c>
      <c r="AA32" s="43">
        <v>5.0999999999999996</v>
      </c>
      <c r="AB32" s="43">
        <v>4.5999999999999996</v>
      </c>
      <c r="AC32" s="43">
        <v>4.0999999999999996</v>
      </c>
      <c r="AD32" s="43">
        <v>4.3</v>
      </c>
      <c r="AE32" s="43">
        <v>4.0999999999999996</v>
      </c>
      <c r="AF32" s="43">
        <v>4</v>
      </c>
      <c r="AG32" s="43">
        <v>4.0999999999999996</v>
      </c>
      <c r="AH32" s="43">
        <v>4.5</v>
      </c>
      <c r="AI32" s="43">
        <v>4.2</v>
      </c>
      <c r="AJ32" s="43">
        <v>1.8</v>
      </c>
      <c r="AK32" s="43">
        <v>1.8</v>
      </c>
      <c r="AL32" s="43">
        <v>1.8</v>
      </c>
      <c r="AM32" s="43">
        <v>1.9</v>
      </c>
      <c r="AN32" s="77">
        <v>1.9</v>
      </c>
    </row>
    <row r="33" spans="1:40" ht="12.75" hidden="1" x14ac:dyDescent="0.2">
      <c r="A33" s="42" t="s">
        <v>215</v>
      </c>
      <c r="B33" s="42">
        <v>3.3</v>
      </c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77"/>
    </row>
    <row r="34" spans="1:40" ht="12.75" hidden="1" x14ac:dyDescent="0.2">
      <c r="A34" s="42" t="s">
        <v>98</v>
      </c>
      <c r="B34" s="42"/>
      <c r="C34" s="26">
        <v>0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43">
        <v>16</v>
      </c>
      <c r="N34" s="43">
        <v>16.2</v>
      </c>
      <c r="O34" s="43">
        <v>14.6</v>
      </c>
      <c r="P34" s="43">
        <v>15.3</v>
      </c>
      <c r="Q34" s="43">
        <v>15.5</v>
      </c>
      <c r="R34" s="43">
        <v>8.9</v>
      </c>
      <c r="S34" s="26">
        <v>0</v>
      </c>
      <c r="T34" s="26">
        <v>0</v>
      </c>
      <c r="U34" s="26">
        <v>0</v>
      </c>
      <c r="V34" s="26">
        <v>0</v>
      </c>
      <c r="W34" s="26">
        <f>1.4-1.4</f>
        <v>0</v>
      </c>
      <c r="X34" s="26">
        <f>1.4-1.4</f>
        <v>0</v>
      </c>
      <c r="Y34" s="26">
        <f>1.4-1.4</f>
        <v>0</v>
      </c>
      <c r="Z34" s="26">
        <f>1.4-1.4</f>
        <v>0</v>
      </c>
      <c r="AA34" s="26">
        <v>0</v>
      </c>
      <c r="AB34" s="26">
        <v>0</v>
      </c>
      <c r="AC34" s="26">
        <v>0</v>
      </c>
      <c r="AD34" s="43">
        <v>0</v>
      </c>
      <c r="AE34" s="43">
        <v>0</v>
      </c>
      <c r="AF34" s="43">
        <v>0</v>
      </c>
      <c r="AG34" s="43">
        <v>0</v>
      </c>
      <c r="AH34" s="43">
        <v>0</v>
      </c>
      <c r="AI34" s="43"/>
      <c r="AJ34" s="43"/>
      <c r="AK34" s="43"/>
      <c r="AL34" s="43"/>
      <c r="AM34" s="43"/>
      <c r="AN34" s="77"/>
    </row>
    <row r="35" spans="1:40" ht="13.5" customHeight="1" x14ac:dyDescent="0.2">
      <c r="A35" s="42" t="s">
        <v>99</v>
      </c>
      <c r="B35" s="42">
        <v>261.8</v>
      </c>
      <c r="C35" s="44">
        <v>269.8</v>
      </c>
      <c r="D35" s="44">
        <v>294.2</v>
      </c>
      <c r="E35" s="44">
        <v>300</v>
      </c>
      <c r="F35" s="44">
        <v>296.2</v>
      </c>
      <c r="G35" s="44">
        <v>295.10000000000002</v>
      </c>
      <c r="H35" s="44">
        <v>290</v>
      </c>
      <c r="I35" s="44">
        <v>281.3</v>
      </c>
      <c r="J35" s="44">
        <v>337.9</v>
      </c>
      <c r="K35" s="44">
        <v>338</v>
      </c>
      <c r="L35" s="44">
        <v>290.89999999999998</v>
      </c>
      <c r="M35" s="44">
        <f t="shared" ref="M35" si="29">287.6-16</f>
        <v>271.60000000000002</v>
      </c>
      <c r="N35" s="44">
        <f>268.7-16.2</f>
        <v>252.5</v>
      </c>
      <c r="O35" s="44">
        <f>255.5-14.6</f>
        <v>240.9</v>
      </c>
      <c r="P35" s="44">
        <f>245.3-15.3</f>
        <v>230</v>
      </c>
      <c r="Q35" s="43">
        <v>229.6</v>
      </c>
      <c r="R35" s="43">
        <v>228.7</v>
      </c>
      <c r="S35" s="43">
        <v>253.4</v>
      </c>
      <c r="T35" s="43">
        <v>242</v>
      </c>
      <c r="U35" s="43">
        <v>234.5</v>
      </c>
      <c r="V35" s="43">
        <f>221.5+4.2</f>
        <v>225.7</v>
      </c>
      <c r="W35" s="43">
        <f>235.8+1.4</f>
        <v>237.20000000000002</v>
      </c>
      <c r="X35" s="43">
        <f>295.7+1.4</f>
        <v>297.09999999999997</v>
      </c>
      <c r="Y35" s="43">
        <v>362.2</v>
      </c>
      <c r="Z35" s="43">
        <f>2.5+416.9-14.5</f>
        <v>404.9</v>
      </c>
      <c r="AA35" s="43">
        <f>445.8+2.4</f>
        <v>448.2</v>
      </c>
      <c r="AB35" s="43">
        <f>498.2+2.3</f>
        <v>500.5</v>
      </c>
      <c r="AC35" s="43">
        <f>572.9+2.1</f>
        <v>575</v>
      </c>
      <c r="AD35" s="43">
        <v>682.2</v>
      </c>
      <c r="AE35" s="43">
        <v>751.4</v>
      </c>
      <c r="AF35" s="43">
        <f>766+18.5</f>
        <v>784.5</v>
      </c>
      <c r="AG35" s="43">
        <v>841.4</v>
      </c>
      <c r="AH35" s="43">
        <v>934.5</v>
      </c>
      <c r="AI35" s="43">
        <v>950.4</v>
      </c>
      <c r="AJ35" s="43">
        <v>988.7</v>
      </c>
      <c r="AK35" s="43">
        <v>1014.2</v>
      </c>
      <c r="AL35" s="43">
        <v>1040.2</v>
      </c>
      <c r="AM35" s="43">
        <v>1044.3</v>
      </c>
      <c r="AN35" s="77">
        <v>1080</v>
      </c>
    </row>
    <row r="36" spans="1:40" ht="13.5" customHeight="1" x14ac:dyDescent="0.2">
      <c r="A36" s="42" t="s">
        <v>100</v>
      </c>
      <c r="B36" s="42"/>
      <c r="C36" s="26">
        <v>0</v>
      </c>
      <c r="D36" s="68">
        <v>0</v>
      </c>
      <c r="E36" s="68">
        <v>0</v>
      </c>
      <c r="F36" s="26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44">
        <v>16.8</v>
      </c>
      <c r="P36" s="44">
        <v>16.600000000000001</v>
      </c>
      <c r="Q36" s="43">
        <v>14.4</v>
      </c>
      <c r="R36" s="43">
        <v>14.8</v>
      </c>
      <c r="S36" s="43">
        <v>13</v>
      </c>
      <c r="T36" s="43">
        <v>12.4</v>
      </c>
      <c r="U36" s="43">
        <v>11.8</v>
      </c>
      <c r="V36" s="43">
        <v>13.7</v>
      </c>
      <c r="W36" s="43">
        <v>12.2</v>
      </c>
      <c r="X36" s="43">
        <v>10.5</v>
      </c>
      <c r="Y36" s="43">
        <v>9.5</v>
      </c>
      <c r="Z36" s="43">
        <v>8</v>
      </c>
      <c r="AA36" s="43">
        <v>6.9</v>
      </c>
      <c r="AB36" s="43">
        <v>7.4</v>
      </c>
      <c r="AC36" s="43">
        <v>12.4</v>
      </c>
      <c r="AD36" s="43">
        <v>12</v>
      </c>
      <c r="AE36" s="43">
        <v>11</v>
      </c>
      <c r="AF36" s="43">
        <v>10.199999999999999</v>
      </c>
      <c r="AG36" s="43">
        <v>9.5</v>
      </c>
      <c r="AH36" s="43">
        <v>9.4</v>
      </c>
      <c r="AI36" s="43">
        <v>18.100000000000001</v>
      </c>
      <c r="AJ36" s="43">
        <v>17.100000000000001</v>
      </c>
      <c r="AK36" s="43">
        <v>16.7</v>
      </c>
      <c r="AL36" s="43">
        <v>15.1</v>
      </c>
      <c r="AM36" s="43">
        <v>15.6</v>
      </c>
      <c r="AN36" s="77">
        <v>15.5</v>
      </c>
    </row>
    <row r="37" spans="1:40" ht="13.5" customHeight="1" x14ac:dyDescent="0.2">
      <c r="A37" s="42" t="s">
        <v>82</v>
      </c>
      <c r="B37" s="42">
        <v>148.9</v>
      </c>
      <c r="C37" s="44">
        <v>103.8</v>
      </c>
      <c r="D37" s="44">
        <v>106.5</v>
      </c>
      <c r="E37" s="44">
        <v>139.9</v>
      </c>
      <c r="F37" s="44">
        <v>142.4</v>
      </c>
      <c r="G37" s="44">
        <v>128.80000000000001</v>
      </c>
      <c r="H37" s="44">
        <v>118.8</v>
      </c>
      <c r="I37" s="44">
        <v>98.1</v>
      </c>
      <c r="J37" s="44">
        <v>101.9</v>
      </c>
      <c r="K37" s="44">
        <v>79.8</v>
      </c>
      <c r="L37" s="44">
        <v>92.8</v>
      </c>
      <c r="M37" s="44">
        <v>90.5</v>
      </c>
      <c r="N37" s="44">
        <v>112.9</v>
      </c>
      <c r="O37" s="44">
        <v>89.5</v>
      </c>
      <c r="P37" s="44">
        <v>96.5</v>
      </c>
      <c r="Q37" s="43">
        <v>85.6</v>
      </c>
      <c r="R37" s="43">
        <v>35.5</v>
      </c>
      <c r="S37" s="43">
        <v>86.9</v>
      </c>
      <c r="T37" s="43">
        <v>78.900000000000006</v>
      </c>
      <c r="U37" s="43">
        <v>69.5</v>
      </c>
      <c r="V37" s="43">
        <v>50.6</v>
      </c>
      <c r="W37" s="43">
        <v>26.6</v>
      </c>
      <c r="X37" s="43">
        <v>31.1</v>
      </c>
      <c r="Y37" s="43">
        <v>27.1</v>
      </c>
      <c r="Z37" s="43">
        <v>17.600000000000001</v>
      </c>
      <c r="AA37" s="43">
        <v>3.2</v>
      </c>
      <c r="AB37" s="43">
        <v>7.4</v>
      </c>
      <c r="AC37" s="43">
        <v>16.3</v>
      </c>
      <c r="AD37" s="26">
        <v>0</v>
      </c>
      <c r="AE37" s="43">
        <v>0.4</v>
      </c>
      <c r="AF37" s="43">
        <v>0</v>
      </c>
      <c r="AG37" s="43">
        <v>0</v>
      </c>
      <c r="AH37" s="43">
        <v>1.5</v>
      </c>
      <c r="AI37" s="43">
        <v>1</v>
      </c>
      <c r="AJ37" s="43">
        <v>0</v>
      </c>
      <c r="AK37" s="43">
        <v>1.9</v>
      </c>
      <c r="AL37" s="43">
        <v>7.3</v>
      </c>
      <c r="AM37" s="43">
        <v>1</v>
      </c>
      <c r="AN37" s="28">
        <v>1</v>
      </c>
    </row>
    <row r="38" spans="1:40" ht="13.5" customHeight="1" x14ac:dyDescent="0.2">
      <c r="A38" s="46" t="s">
        <v>101</v>
      </c>
      <c r="B38" s="47">
        <f t="shared" ref="B38:AM38" si="30">SUM(B30:B37)</f>
        <v>1886.8999999999999</v>
      </c>
      <c r="C38" s="47">
        <f t="shared" si="30"/>
        <v>1790.8999999999999</v>
      </c>
      <c r="D38" s="47">
        <f t="shared" si="30"/>
        <v>1884.1000000000001</v>
      </c>
      <c r="E38" s="47">
        <f t="shared" si="30"/>
        <v>2020.3000000000002</v>
      </c>
      <c r="F38" s="47">
        <f t="shared" si="30"/>
        <v>2009.6000000000001</v>
      </c>
      <c r="G38" s="47">
        <f t="shared" si="30"/>
        <v>2005.1000000000001</v>
      </c>
      <c r="H38" s="47">
        <f t="shared" si="30"/>
        <v>1811.1999999999998</v>
      </c>
      <c r="I38" s="47">
        <f t="shared" si="30"/>
        <v>1822</v>
      </c>
      <c r="J38" s="47">
        <f t="shared" si="30"/>
        <v>1642</v>
      </c>
      <c r="K38" s="47">
        <f t="shared" si="30"/>
        <v>1539.1999999999998</v>
      </c>
      <c r="L38" s="47">
        <f t="shared" si="30"/>
        <v>1490.9999999999998</v>
      </c>
      <c r="M38" s="47">
        <f t="shared" si="30"/>
        <v>1500.6</v>
      </c>
      <c r="N38" s="47">
        <f t="shared" si="30"/>
        <v>1499</v>
      </c>
      <c r="O38" s="47">
        <f t="shared" si="30"/>
        <v>1192.7</v>
      </c>
      <c r="P38" s="47">
        <f t="shared" si="30"/>
        <v>1499</v>
      </c>
      <c r="Q38" s="47">
        <f t="shared" si="30"/>
        <v>1375.1999999999998</v>
      </c>
      <c r="R38" s="47">
        <f t="shared" si="30"/>
        <v>1318.9</v>
      </c>
      <c r="S38" s="47">
        <f t="shared" si="30"/>
        <v>1478.2000000000003</v>
      </c>
      <c r="T38" s="47">
        <f t="shared" si="30"/>
        <v>1439.8000000000002</v>
      </c>
      <c r="U38" s="47">
        <f t="shared" si="30"/>
        <v>1320.6</v>
      </c>
      <c r="V38" s="47">
        <f t="shared" si="30"/>
        <v>1254</v>
      </c>
      <c r="W38" s="47">
        <f t="shared" si="30"/>
        <v>1302.5999999999999</v>
      </c>
      <c r="X38" s="47">
        <f t="shared" si="30"/>
        <v>1282.3999999999999</v>
      </c>
      <c r="Y38" s="47">
        <f t="shared" si="30"/>
        <v>1335.8</v>
      </c>
      <c r="Z38" s="47">
        <f t="shared" si="30"/>
        <v>1441.1999999999998</v>
      </c>
      <c r="AA38" s="47">
        <f t="shared" si="30"/>
        <v>1493.7</v>
      </c>
      <c r="AB38" s="47">
        <f t="shared" si="30"/>
        <v>1582.9</v>
      </c>
      <c r="AC38" s="47">
        <f t="shared" si="30"/>
        <v>1727.6</v>
      </c>
      <c r="AD38" s="47">
        <f t="shared" si="30"/>
        <v>1747</v>
      </c>
      <c r="AE38" s="47">
        <f t="shared" si="30"/>
        <v>1858.4</v>
      </c>
      <c r="AF38" s="47">
        <f t="shared" si="30"/>
        <v>1868.8</v>
      </c>
      <c r="AG38" s="47">
        <f t="shared" si="30"/>
        <v>2152.6999999999998</v>
      </c>
      <c r="AH38" s="47">
        <f t="shared" si="30"/>
        <v>2262.7000000000003</v>
      </c>
      <c r="AI38" s="47">
        <f t="shared" si="30"/>
        <v>2287.1999999999998</v>
      </c>
      <c r="AJ38" s="47">
        <f t="shared" si="30"/>
        <v>2411.5</v>
      </c>
      <c r="AK38" s="47">
        <f t="shared" si="30"/>
        <v>2495.6999999999998</v>
      </c>
      <c r="AL38" s="47">
        <f t="shared" si="30"/>
        <v>2585.7000000000003</v>
      </c>
      <c r="AM38" s="47">
        <f t="shared" si="30"/>
        <v>2638.7999999999997</v>
      </c>
      <c r="AN38" s="79">
        <f t="shared" ref="AN38" si="31">SUM(AN30:AN37)</f>
        <v>2663.8</v>
      </c>
    </row>
    <row r="39" spans="1:40" ht="13.5" customHeight="1" x14ac:dyDescent="0.2">
      <c r="A39" s="48"/>
      <c r="B39" s="48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80"/>
    </row>
    <row r="40" spans="1:40" ht="13.5" customHeight="1" x14ac:dyDescent="0.2">
      <c r="A40" s="42" t="s">
        <v>102</v>
      </c>
      <c r="B40" s="42">
        <v>275.89999999999998</v>
      </c>
      <c r="C40" s="44">
        <v>242.4</v>
      </c>
      <c r="D40" s="44">
        <v>209.4</v>
      </c>
      <c r="E40" s="44">
        <v>184.7</v>
      </c>
      <c r="F40" s="44">
        <v>227.9</v>
      </c>
      <c r="G40" s="44">
        <v>208.1</v>
      </c>
      <c r="H40" s="44">
        <v>209.7</v>
      </c>
      <c r="I40" s="44">
        <v>222.1</v>
      </c>
      <c r="J40" s="44">
        <v>287.8</v>
      </c>
      <c r="K40" s="44">
        <v>305.8</v>
      </c>
      <c r="L40" s="44">
        <v>370.1</v>
      </c>
      <c r="M40" s="44">
        <f t="shared" ref="M40" si="32">367.9-2</f>
        <v>365.9</v>
      </c>
      <c r="N40" s="44">
        <v>324</v>
      </c>
      <c r="O40" s="44">
        <v>321.60000000000002</v>
      </c>
      <c r="P40" s="44">
        <v>296.8</v>
      </c>
      <c r="Q40" s="43">
        <v>304.60000000000002</v>
      </c>
      <c r="R40" s="43">
        <v>325.60000000000002</v>
      </c>
      <c r="S40" s="43">
        <v>222.3</v>
      </c>
      <c r="T40" s="43">
        <v>209.2</v>
      </c>
      <c r="U40" s="43">
        <v>209</v>
      </c>
      <c r="V40" s="43">
        <v>240.1</v>
      </c>
      <c r="W40" s="43">
        <v>216.2</v>
      </c>
      <c r="X40" s="43">
        <v>227.9</v>
      </c>
      <c r="Y40" s="43">
        <v>212.9</v>
      </c>
      <c r="Z40" s="43">
        <f>350.9-6.2+14.5</f>
        <v>359.2</v>
      </c>
      <c r="AA40" s="43">
        <v>250</v>
      </c>
      <c r="AB40" s="43">
        <v>242.6</v>
      </c>
      <c r="AC40" s="43">
        <v>245.9</v>
      </c>
      <c r="AD40" s="43">
        <v>359.8</v>
      </c>
      <c r="AE40" s="43">
        <v>298.2</v>
      </c>
      <c r="AF40" s="43">
        <v>257.7</v>
      </c>
      <c r="AG40" s="43">
        <v>230.3</v>
      </c>
      <c r="AH40" s="43">
        <v>229.5</v>
      </c>
      <c r="AI40" s="43">
        <v>183.3</v>
      </c>
      <c r="AJ40" s="43">
        <v>178</v>
      </c>
      <c r="AK40" s="43">
        <v>149</v>
      </c>
      <c r="AL40" s="43">
        <v>137.6</v>
      </c>
      <c r="AM40" s="43">
        <v>126.3</v>
      </c>
      <c r="AN40" s="77">
        <v>144.4</v>
      </c>
    </row>
    <row r="41" spans="1:40" ht="13.5" customHeight="1" x14ac:dyDescent="0.2">
      <c r="A41" s="42" t="s">
        <v>82</v>
      </c>
      <c r="B41" s="42">
        <v>27.5</v>
      </c>
      <c r="C41" s="44">
        <v>45.5</v>
      </c>
      <c r="D41" s="44">
        <v>36.6</v>
      </c>
      <c r="E41" s="44">
        <v>2.7</v>
      </c>
      <c r="F41" s="44">
        <v>10.8</v>
      </c>
      <c r="G41" s="44">
        <v>7.3</v>
      </c>
      <c r="H41" s="44">
        <v>3.2</v>
      </c>
      <c r="I41" s="44">
        <v>1.6</v>
      </c>
      <c r="J41" s="44">
        <v>1.1000000000000001</v>
      </c>
      <c r="K41" s="44">
        <v>0.5</v>
      </c>
      <c r="L41" s="44">
        <v>1</v>
      </c>
      <c r="M41" s="44">
        <v>1.2</v>
      </c>
      <c r="N41" s="44">
        <v>2.2999999999999998</v>
      </c>
      <c r="O41" s="44">
        <v>26.3</v>
      </c>
      <c r="P41" s="44">
        <v>25.2</v>
      </c>
      <c r="Q41" s="43">
        <v>63.2</v>
      </c>
      <c r="R41" s="43">
        <v>23.1</v>
      </c>
      <c r="S41" s="43">
        <v>9.6999999999999993</v>
      </c>
      <c r="T41" s="43">
        <v>6.2</v>
      </c>
      <c r="U41" s="43">
        <v>4.4000000000000004</v>
      </c>
      <c r="V41" s="43">
        <v>2.9</v>
      </c>
      <c r="W41" s="43">
        <v>1.5</v>
      </c>
      <c r="X41" s="43">
        <v>1.7</v>
      </c>
      <c r="Y41" s="43">
        <v>3.9</v>
      </c>
      <c r="Z41" s="43">
        <v>5.4</v>
      </c>
      <c r="AA41" s="43">
        <v>9.4</v>
      </c>
      <c r="AB41" s="43">
        <v>19.899999999999999</v>
      </c>
      <c r="AC41" s="43">
        <v>41</v>
      </c>
      <c r="AD41" s="43">
        <v>17.8</v>
      </c>
      <c r="AE41" s="43">
        <v>19.5</v>
      </c>
      <c r="AF41" s="43">
        <v>19.3</v>
      </c>
      <c r="AG41" s="43">
        <v>17.7</v>
      </c>
      <c r="AH41" s="43">
        <v>2.1</v>
      </c>
      <c r="AI41" s="43">
        <v>1.6</v>
      </c>
      <c r="AJ41" s="43">
        <v>0.1</v>
      </c>
      <c r="AK41" s="43">
        <v>0.1</v>
      </c>
      <c r="AL41" s="43">
        <v>0</v>
      </c>
      <c r="AM41" s="43">
        <v>0.1</v>
      </c>
      <c r="AN41" s="28">
        <v>0</v>
      </c>
    </row>
    <row r="42" spans="1:40" ht="13.5" customHeight="1" x14ac:dyDescent="0.2">
      <c r="A42" s="42" t="s">
        <v>103</v>
      </c>
      <c r="B42" s="42">
        <v>280.7</v>
      </c>
      <c r="C42" s="44">
        <v>336.2</v>
      </c>
      <c r="D42" s="44">
        <v>331.3</v>
      </c>
      <c r="E42" s="44">
        <v>175.9</v>
      </c>
      <c r="F42" s="44">
        <v>174.4</v>
      </c>
      <c r="G42" s="44">
        <v>179.3</v>
      </c>
      <c r="H42" s="44">
        <v>157.30000000000001</v>
      </c>
      <c r="I42" s="44">
        <v>232.8</v>
      </c>
      <c r="J42" s="44">
        <v>222.8</v>
      </c>
      <c r="K42" s="44">
        <v>266.60000000000002</v>
      </c>
      <c r="L42" s="44">
        <v>260.10000000000002</v>
      </c>
      <c r="M42" s="44">
        <v>260.39999999999998</v>
      </c>
      <c r="N42" s="44">
        <v>260.89999999999998</v>
      </c>
      <c r="O42" s="44">
        <v>502</v>
      </c>
      <c r="P42" s="44">
        <v>175.4</v>
      </c>
      <c r="Q42" s="43">
        <v>232.8</v>
      </c>
      <c r="R42" s="43">
        <v>221.1</v>
      </c>
      <c r="S42" s="43">
        <v>119.5</v>
      </c>
      <c r="T42" s="43">
        <v>119.9</v>
      </c>
      <c r="U42" s="43">
        <v>118.3</v>
      </c>
      <c r="V42" s="43">
        <v>117.7</v>
      </c>
      <c r="W42" s="43">
        <v>120.5</v>
      </c>
      <c r="X42" s="43">
        <v>119.5</v>
      </c>
      <c r="Y42" s="43">
        <f>119.6+0.1</f>
        <v>119.69999999999999</v>
      </c>
      <c r="Z42" s="43">
        <v>120.2</v>
      </c>
      <c r="AA42" s="43">
        <v>116.5</v>
      </c>
      <c r="AB42" s="43">
        <v>116.8</v>
      </c>
      <c r="AC42" s="43">
        <v>112.9</v>
      </c>
      <c r="AD42" s="43">
        <v>205.3</v>
      </c>
      <c r="AE42" s="43">
        <v>199.6</v>
      </c>
      <c r="AF42" s="43">
        <v>290.8</v>
      </c>
      <c r="AG42" s="43">
        <v>198.7</v>
      </c>
      <c r="AH42" s="43">
        <v>242.5</v>
      </c>
      <c r="AI42" s="43">
        <v>209.3</v>
      </c>
      <c r="AJ42" s="43">
        <v>211.3</v>
      </c>
      <c r="AK42" s="43">
        <v>213.4</v>
      </c>
      <c r="AL42" s="43">
        <v>57.5</v>
      </c>
      <c r="AM42" s="43">
        <v>57.5</v>
      </c>
      <c r="AN42" s="77">
        <v>57.6</v>
      </c>
    </row>
    <row r="43" spans="1:40" ht="13.5" customHeight="1" x14ac:dyDescent="0.2">
      <c r="A43" s="42" t="s">
        <v>104</v>
      </c>
      <c r="B43" s="42">
        <v>0</v>
      </c>
      <c r="C43" s="68">
        <v>0</v>
      </c>
      <c r="D43" s="68">
        <v>0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44">
        <v>6.5</v>
      </c>
      <c r="P43" s="44">
        <v>8.9</v>
      </c>
      <c r="Q43" s="43">
        <v>8.5</v>
      </c>
      <c r="R43" s="43">
        <v>8.1999999999999993</v>
      </c>
      <c r="S43" s="43">
        <v>4.7</v>
      </c>
      <c r="T43" s="43">
        <v>4.5999999999999996</v>
      </c>
      <c r="U43" s="43">
        <v>4.5999999999999996</v>
      </c>
      <c r="V43" s="43">
        <v>6.1</v>
      </c>
      <c r="W43" s="43">
        <v>6.1</v>
      </c>
      <c r="X43" s="43">
        <v>6</v>
      </c>
      <c r="Y43" s="43">
        <v>6</v>
      </c>
      <c r="Z43" s="43">
        <v>6.2</v>
      </c>
      <c r="AA43" s="43">
        <v>5.8</v>
      </c>
      <c r="AB43" s="43">
        <v>5.4</v>
      </c>
      <c r="AC43" s="43">
        <v>5.8</v>
      </c>
      <c r="AD43" s="43">
        <v>5.9</v>
      </c>
      <c r="AE43" s="43">
        <v>5</v>
      </c>
      <c r="AF43" s="43">
        <v>4.2</v>
      </c>
      <c r="AG43" s="43">
        <v>3.4</v>
      </c>
      <c r="AH43" s="43">
        <v>2.6</v>
      </c>
      <c r="AI43" s="43">
        <v>4.5999999999999996</v>
      </c>
      <c r="AJ43" s="43">
        <v>4.4000000000000004</v>
      </c>
      <c r="AK43" s="43">
        <v>4.5</v>
      </c>
      <c r="AL43" s="43">
        <v>4.2</v>
      </c>
      <c r="AM43" s="43">
        <v>4.7</v>
      </c>
      <c r="AN43" s="77">
        <v>5.0999999999999996</v>
      </c>
    </row>
    <row r="44" spans="1:40" ht="13.5" customHeight="1" x14ac:dyDescent="0.2">
      <c r="A44" s="42" t="s">
        <v>105</v>
      </c>
      <c r="B44" s="42">
        <v>24.3</v>
      </c>
      <c r="C44" s="44">
        <v>24</v>
      </c>
      <c r="D44" s="44">
        <v>25.3</v>
      </c>
      <c r="E44" s="44">
        <v>26.8</v>
      </c>
      <c r="F44" s="44">
        <v>25.3</v>
      </c>
      <c r="G44" s="44">
        <v>28.2</v>
      </c>
      <c r="H44" s="44">
        <v>28.8</v>
      </c>
      <c r="I44" s="44">
        <v>41.6</v>
      </c>
      <c r="J44" s="44">
        <v>9.6999999999999993</v>
      </c>
      <c r="K44" s="44">
        <v>11</v>
      </c>
      <c r="L44" s="44">
        <v>9</v>
      </c>
      <c r="M44" s="44">
        <v>10.4</v>
      </c>
      <c r="N44" s="44">
        <v>9.4</v>
      </c>
      <c r="O44" s="44">
        <v>11.9</v>
      </c>
      <c r="P44" s="44">
        <v>11.3</v>
      </c>
      <c r="Q44" s="43">
        <v>13.2</v>
      </c>
      <c r="R44" s="43">
        <v>13.7</v>
      </c>
      <c r="S44" s="43">
        <v>19</v>
      </c>
      <c r="T44" s="43">
        <v>19.2</v>
      </c>
      <c r="U44" s="43">
        <v>18.399999999999999</v>
      </c>
      <c r="V44" s="43">
        <v>21</v>
      </c>
      <c r="W44" s="43">
        <v>31.4</v>
      </c>
      <c r="X44" s="43">
        <v>23.2</v>
      </c>
      <c r="Y44" s="43">
        <v>22.6</v>
      </c>
      <c r="Z44" s="43">
        <v>21.8</v>
      </c>
      <c r="AA44" s="43">
        <v>17.3</v>
      </c>
      <c r="AB44" s="43">
        <v>15.8</v>
      </c>
      <c r="AC44" s="43">
        <v>12.5</v>
      </c>
      <c r="AD44" s="43">
        <v>11.7</v>
      </c>
      <c r="AE44" s="43">
        <v>11.4</v>
      </c>
      <c r="AF44" s="43">
        <v>10.5</v>
      </c>
      <c r="AG44" s="43">
        <v>17.3</v>
      </c>
      <c r="AH44" s="43">
        <v>18.399999999999999</v>
      </c>
      <c r="AI44" s="43">
        <v>14.5</v>
      </c>
      <c r="AJ44" s="43">
        <v>14.3</v>
      </c>
      <c r="AK44" s="43">
        <v>13.2</v>
      </c>
      <c r="AL44" s="43">
        <v>13.8</v>
      </c>
      <c r="AM44" s="43">
        <v>22.4</v>
      </c>
      <c r="AN44" s="77">
        <v>21.3</v>
      </c>
    </row>
    <row r="45" spans="1:40" ht="13.5" customHeight="1" x14ac:dyDescent="0.2">
      <c r="A45" s="42" t="s">
        <v>106</v>
      </c>
      <c r="B45" s="42">
        <v>0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0</v>
      </c>
      <c r="S45" s="26">
        <v>0</v>
      </c>
      <c r="T45" s="26">
        <v>0</v>
      </c>
      <c r="U45" s="26">
        <v>0</v>
      </c>
      <c r="V45" s="26">
        <v>0</v>
      </c>
      <c r="W45" s="26">
        <f>1.4-1.4</f>
        <v>0</v>
      </c>
      <c r="X45" s="26">
        <f>1.4-1.4</f>
        <v>0</v>
      </c>
      <c r="Y45" s="26">
        <f>1.4-1.4</f>
        <v>0</v>
      </c>
      <c r="Z45" s="43">
        <v>34.299999999999997</v>
      </c>
      <c r="AA45" s="43">
        <v>34.299999999999997</v>
      </c>
      <c r="AB45" s="26">
        <v>0</v>
      </c>
      <c r="AC45" s="26">
        <v>0</v>
      </c>
      <c r="AD45" s="26">
        <v>0</v>
      </c>
      <c r="AE45" s="26">
        <v>0</v>
      </c>
      <c r="AF45" s="26">
        <v>0</v>
      </c>
      <c r="AG45" s="26">
        <v>0</v>
      </c>
      <c r="AH45" s="26">
        <v>0</v>
      </c>
      <c r="AI45" s="26">
        <v>0</v>
      </c>
      <c r="AJ45" s="26">
        <v>0</v>
      </c>
      <c r="AK45" s="26">
        <v>0</v>
      </c>
      <c r="AL45" s="26">
        <v>0</v>
      </c>
      <c r="AM45" s="26">
        <v>0</v>
      </c>
      <c r="AN45" s="28">
        <v>0</v>
      </c>
    </row>
    <row r="46" spans="1:40" ht="13.5" customHeight="1" x14ac:dyDescent="0.2">
      <c r="A46" s="46" t="s">
        <v>107</v>
      </c>
      <c r="B46" s="47">
        <f>SUM(B40:B45)</f>
        <v>608.39999999999986</v>
      </c>
      <c r="C46" s="47">
        <f>SUM(C40:C45)</f>
        <v>648.09999999999991</v>
      </c>
      <c r="D46" s="47">
        <f t="shared" ref="D46:Z46" si="33">SUM(D40:D45)</f>
        <v>602.59999999999991</v>
      </c>
      <c r="E46" s="47">
        <f t="shared" si="33"/>
        <v>390.09999999999997</v>
      </c>
      <c r="F46" s="47">
        <f t="shared" si="33"/>
        <v>438.40000000000003</v>
      </c>
      <c r="G46" s="47">
        <f t="shared" si="33"/>
        <v>422.90000000000003</v>
      </c>
      <c r="H46" s="47">
        <f t="shared" si="33"/>
        <v>399</v>
      </c>
      <c r="I46" s="47">
        <f t="shared" si="33"/>
        <v>498.1</v>
      </c>
      <c r="J46" s="47">
        <f t="shared" si="33"/>
        <v>521.40000000000009</v>
      </c>
      <c r="K46" s="47">
        <f t="shared" si="33"/>
        <v>583.90000000000009</v>
      </c>
      <c r="L46" s="47">
        <f t="shared" si="33"/>
        <v>640.20000000000005</v>
      </c>
      <c r="M46" s="47">
        <f t="shared" si="33"/>
        <v>637.9</v>
      </c>
      <c r="N46" s="47">
        <f t="shared" si="33"/>
        <v>596.6</v>
      </c>
      <c r="O46" s="47">
        <f t="shared" si="33"/>
        <v>868.30000000000007</v>
      </c>
      <c r="P46" s="47">
        <f t="shared" si="33"/>
        <v>517.59999999999991</v>
      </c>
      <c r="Q46" s="47">
        <f t="shared" si="33"/>
        <v>622.30000000000007</v>
      </c>
      <c r="R46" s="47">
        <f t="shared" si="33"/>
        <v>591.70000000000016</v>
      </c>
      <c r="S46" s="47">
        <f t="shared" si="33"/>
        <v>375.2</v>
      </c>
      <c r="T46" s="47">
        <f t="shared" si="33"/>
        <v>359.09999999999997</v>
      </c>
      <c r="U46" s="47">
        <f t="shared" si="33"/>
        <v>354.7</v>
      </c>
      <c r="V46" s="47">
        <f t="shared" si="33"/>
        <v>387.8</v>
      </c>
      <c r="W46" s="47">
        <f t="shared" si="33"/>
        <v>375.7</v>
      </c>
      <c r="X46" s="47">
        <f t="shared" si="33"/>
        <v>378.3</v>
      </c>
      <c r="Y46" s="47">
        <f t="shared" si="33"/>
        <v>365.1</v>
      </c>
      <c r="Z46" s="47">
        <f t="shared" si="33"/>
        <v>547.09999999999991</v>
      </c>
      <c r="AA46" s="47">
        <f t="shared" ref="AA46:AB46" si="34">SUM(AA40:AA45)</f>
        <v>433.3</v>
      </c>
      <c r="AB46" s="47">
        <f t="shared" si="34"/>
        <v>400.5</v>
      </c>
      <c r="AC46" s="47">
        <f t="shared" ref="AC46:AD46" si="35">SUM(AC40:AC45)</f>
        <v>418.09999999999997</v>
      </c>
      <c r="AD46" s="47">
        <f t="shared" si="35"/>
        <v>600.50000000000011</v>
      </c>
      <c r="AE46" s="47">
        <f t="shared" ref="AE46:AF46" si="36">SUM(AE40:AE45)</f>
        <v>533.69999999999993</v>
      </c>
      <c r="AF46" s="47">
        <f t="shared" si="36"/>
        <v>582.5</v>
      </c>
      <c r="AG46" s="47">
        <f t="shared" ref="AG46:AH46" si="37">SUM(AG40:AG45)</f>
        <v>467.4</v>
      </c>
      <c r="AH46" s="47">
        <f t="shared" si="37"/>
        <v>495.1</v>
      </c>
      <c r="AI46" s="47">
        <f t="shared" ref="AI46:AJ46" si="38">SUM(AI40:AI45)</f>
        <v>413.30000000000007</v>
      </c>
      <c r="AJ46" s="47">
        <f t="shared" si="38"/>
        <v>408.09999999999997</v>
      </c>
      <c r="AK46" s="47">
        <f t="shared" ref="AK46:AL46" si="39">SUM(AK40:AK45)</f>
        <v>380.2</v>
      </c>
      <c r="AL46" s="47">
        <f t="shared" si="39"/>
        <v>213.1</v>
      </c>
      <c r="AM46" s="47">
        <f>SUM(AM40:AM45)</f>
        <v>210.99999999999997</v>
      </c>
      <c r="AN46" s="79">
        <f>SUM(AN40:AN45)</f>
        <v>228.4</v>
      </c>
    </row>
    <row r="47" spans="1:40" ht="13.5" customHeight="1" x14ac:dyDescent="0.2">
      <c r="A47" s="50"/>
      <c r="B47" s="50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81"/>
    </row>
    <row r="48" spans="1:40" ht="13.5" customHeight="1" x14ac:dyDescent="0.2">
      <c r="A48" s="46" t="s">
        <v>108</v>
      </c>
      <c r="B48" s="47">
        <f t="shared" ref="B48:E48" si="40">B46+B38</f>
        <v>2495.2999999999997</v>
      </c>
      <c r="C48" s="47">
        <f t="shared" si="40"/>
        <v>2439</v>
      </c>
      <c r="D48" s="47">
        <f t="shared" si="40"/>
        <v>2486.6999999999998</v>
      </c>
      <c r="E48" s="47">
        <f t="shared" si="40"/>
        <v>2410.4</v>
      </c>
      <c r="F48" s="47">
        <f t="shared" ref="F48:M48" si="41">F46+F38</f>
        <v>2448</v>
      </c>
      <c r="G48" s="47">
        <f t="shared" si="41"/>
        <v>2428</v>
      </c>
      <c r="H48" s="47">
        <f t="shared" si="41"/>
        <v>2210.1999999999998</v>
      </c>
      <c r="I48" s="47">
        <f t="shared" si="41"/>
        <v>2320.1</v>
      </c>
      <c r="J48" s="47">
        <f t="shared" si="41"/>
        <v>2163.4</v>
      </c>
      <c r="K48" s="47">
        <f t="shared" si="41"/>
        <v>2123.1</v>
      </c>
      <c r="L48" s="47">
        <f t="shared" si="41"/>
        <v>2131.1999999999998</v>
      </c>
      <c r="M48" s="47">
        <f t="shared" si="41"/>
        <v>2138.5</v>
      </c>
      <c r="N48" s="47">
        <f t="shared" ref="N48:U48" si="42">N46+N38</f>
        <v>2095.6</v>
      </c>
      <c r="O48" s="47">
        <f t="shared" si="42"/>
        <v>2061</v>
      </c>
      <c r="P48" s="47">
        <f t="shared" si="42"/>
        <v>2016.6</v>
      </c>
      <c r="Q48" s="47">
        <f t="shared" si="42"/>
        <v>1997.5</v>
      </c>
      <c r="R48" s="47">
        <f t="shared" si="42"/>
        <v>1910.6000000000004</v>
      </c>
      <c r="S48" s="47">
        <f t="shared" si="42"/>
        <v>1853.4000000000003</v>
      </c>
      <c r="T48" s="47">
        <f t="shared" si="42"/>
        <v>1798.9</v>
      </c>
      <c r="U48" s="47">
        <f t="shared" si="42"/>
        <v>1675.3</v>
      </c>
      <c r="V48" s="47">
        <f t="shared" ref="V48:W48" si="43">V46+V38</f>
        <v>1641.8</v>
      </c>
      <c r="W48" s="47">
        <f t="shared" si="43"/>
        <v>1678.3</v>
      </c>
      <c r="X48" s="47">
        <f t="shared" ref="X48:Y48" si="44">X46+X38</f>
        <v>1660.6999999999998</v>
      </c>
      <c r="Y48" s="47">
        <f t="shared" si="44"/>
        <v>1700.9</v>
      </c>
      <c r="Z48" s="47">
        <f t="shared" ref="Z48:AA48" si="45">Z46+Z38</f>
        <v>1988.2999999999997</v>
      </c>
      <c r="AA48" s="47">
        <f t="shared" si="45"/>
        <v>1927</v>
      </c>
      <c r="AB48" s="47">
        <f t="shared" ref="AB48:AC48" si="46">AB46+AB38</f>
        <v>1983.4</v>
      </c>
      <c r="AC48" s="47">
        <f t="shared" si="46"/>
        <v>2145.6999999999998</v>
      </c>
      <c r="AD48" s="47">
        <f t="shared" ref="AD48:AE48" si="47">AD46+AD38</f>
        <v>2347.5</v>
      </c>
      <c r="AE48" s="47">
        <f t="shared" si="47"/>
        <v>2392.1</v>
      </c>
      <c r="AF48" s="47">
        <f t="shared" ref="AF48:AG48" si="48">AF46+AF38</f>
        <v>2451.3000000000002</v>
      </c>
      <c r="AG48" s="47">
        <f t="shared" si="48"/>
        <v>2620.1</v>
      </c>
      <c r="AH48" s="47">
        <f t="shared" ref="AH48:AI48" si="49">AH46+AH38</f>
        <v>2757.8</v>
      </c>
      <c r="AI48" s="47">
        <f t="shared" si="49"/>
        <v>2700.5</v>
      </c>
      <c r="AJ48" s="47">
        <f t="shared" ref="AJ48:AK48" si="50">AJ46+AJ38</f>
        <v>2819.6</v>
      </c>
      <c r="AK48" s="47">
        <f t="shared" si="50"/>
        <v>2875.8999999999996</v>
      </c>
      <c r="AL48" s="47">
        <f t="shared" ref="AL48" si="51">AL46+AL38</f>
        <v>2798.8</v>
      </c>
      <c r="AM48" s="47">
        <f>AM46+AM38</f>
        <v>2849.7999999999997</v>
      </c>
      <c r="AN48" s="79">
        <f>AN46+AN38</f>
        <v>2892.2000000000003</v>
      </c>
    </row>
    <row r="49" spans="1:40" ht="13.5" customHeight="1" x14ac:dyDescent="0.2">
      <c r="A49" s="50"/>
      <c r="B49" s="50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81"/>
    </row>
    <row r="50" spans="1:40" ht="13.5" customHeight="1" x14ac:dyDescent="0.2">
      <c r="A50" s="46" t="s">
        <v>109</v>
      </c>
      <c r="B50" s="47">
        <f t="shared" ref="B50:AM50" si="52">B48+B28</f>
        <v>3439.7</v>
      </c>
      <c r="C50" s="47">
        <f t="shared" si="52"/>
        <v>3387.7</v>
      </c>
      <c r="D50" s="47">
        <f t="shared" si="52"/>
        <v>3437.1</v>
      </c>
      <c r="E50" s="47">
        <f t="shared" si="52"/>
        <v>3448.8</v>
      </c>
      <c r="F50" s="47">
        <f t="shared" si="52"/>
        <v>3367.9</v>
      </c>
      <c r="G50" s="47">
        <f t="shared" si="52"/>
        <v>3338.1</v>
      </c>
      <c r="H50" s="47">
        <f t="shared" si="52"/>
        <v>3144.7999999999997</v>
      </c>
      <c r="I50" s="47">
        <f t="shared" si="52"/>
        <v>3261.5</v>
      </c>
      <c r="J50" s="47">
        <f t="shared" si="52"/>
        <v>3422.8</v>
      </c>
      <c r="K50" s="47">
        <f t="shared" si="52"/>
        <v>3392.5</v>
      </c>
      <c r="L50" s="47">
        <f t="shared" si="52"/>
        <v>3393.1</v>
      </c>
      <c r="M50" s="47">
        <f t="shared" si="52"/>
        <v>3407.2</v>
      </c>
      <c r="N50" s="47">
        <f t="shared" si="52"/>
        <v>3416.5</v>
      </c>
      <c r="O50" s="47">
        <f t="shared" si="52"/>
        <v>3411.1</v>
      </c>
      <c r="P50" s="47">
        <f t="shared" si="52"/>
        <v>3390</v>
      </c>
      <c r="Q50" s="47">
        <f t="shared" si="52"/>
        <v>3371.6</v>
      </c>
      <c r="R50" s="47">
        <f t="shared" si="52"/>
        <v>3369.1000000000004</v>
      </c>
      <c r="S50" s="47">
        <f t="shared" si="52"/>
        <v>2852.6000000000004</v>
      </c>
      <c r="T50" s="47">
        <f t="shared" si="52"/>
        <v>2803.4</v>
      </c>
      <c r="U50" s="47">
        <f t="shared" si="52"/>
        <v>2680.1</v>
      </c>
      <c r="V50" s="47">
        <f t="shared" si="52"/>
        <v>2586.8000000000002</v>
      </c>
      <c r="W50" s="47">
        <f t="shared" si="52"/>
        <v>2783.8</v>
      </c>
      <c r="X50" s="47">
        <f t="shared" si="52"/>
        <v>2764.3999999999996</v>
      </c>
      <c r="Y50" s="47">
        <f t="shared" si="52"/>
        <v>2790.4</v>
      </c>
      <c r="Z50" s="47">
        <f t="shared" si="52"/>
        <v>3009.7</v>
      </c>
      <c r="AA50" s="47">
        <f t="shared" si="52"/>
        <v>3006.3</v>
      </c>
      <c r="AB50" s="47">
        <f t="shared" si="52"/>
        <v>3061.2</v>
      </c>
      <c r="AC50" s="47">
        <f t="shared" si="52"/>
        <v>3241.2999999999997</v>
      </c>
      <c r="AD50" s="47">
        <f t="shared" si="52"/>
        <v>3498.6</v>
      </c>
      <c r="AE50" s="47">
        <f t="shared" si="52"/>
        <v>3536.5</v>
      </c>
      <c r="AF50" s="47">
        <f t="shared" si="52"/>
        <v>3601.6000000000004</v>
      </c>
      <c r="AG50" s="47">
        <f t="shared" si="52"/>
        <v>3799.8999999999996</v>
      </c>
      <c r="AH50" s="47">
        <f t="shared" si="52"/>
        <v>3953.1000000000004</v>
      </c>
      <c r="AI50" s="47">
        <f t="shared" si="52"/>
        <v>3918.9</v>
      </c>
      <c r="AJ50" s="47">
        <f t="shared" si="52"/>
        <v>4050.1</v>
      </c>
      <c r="AK50" s="47">
        <f t="shared" si="52"/>
        <v>4084.4999999999995</v>
      </c>
      <c r="AL50" s="47">
        <f t="shared" si="52"/>
        <v>4045.4</v>
      </c>
      <c r="AM50" s="47">
        <f t="shared" si="52"/>
        <v>4121.5</v>
      </c>
      <c r="AN50" s="79">
        <f t="shared" ref="AN50" si="53">AN48+AN28</f>
        <v>4171.5</v>
      </c>
    </row>
    <row r="51" spans="1:40" ht="13.5" customHeight="1" x14ac:dyDescent="0.2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</row>
    <row r="52" spans="1:40" ht="13.5" customHeight="1" x14ac:dyDescent="0.2">
      <c r="A52" s="14"/>
      <c r="B52" s="14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143"/>
      <c r="AA52" s="68"/>
      <c r="AB52" s="68"/>
      <c r="AC52" s="68"/>
      <c r="AD52" s="143"/>
      <c r="AE52" s="143"/>
      <c r="AF52" s="143"/>
      <c r="AG52" s="143"/>
      <c r="AH52" s="143"/>
      <c r="AI52" s="143"/>
      <c r="AJ52" s="143"/>
      <c r="AK52" s="143"/>
      <c r="AL52" s="143"/>
      <c r="AM52" s="143"/>
      <c r="AN52" s="143"/>
    </row>
    <row r="53" spans="1:40" ht="13.5" customHeight="1" x14ac:dyDescent="0.2"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</row>
    <row r="54" spans="1:40" ht="13.5" customHeight="1" x14ac:dyDescent="0.2">
      <c r="Z54" s="144"/>
      <c r="AD54" s="144"/>
      <c r="AE54" s="144"/>
      <c r="AF54" s="144"/>
      <c r="AG54" s="144"/>
      <c r="AH54" s="144"/>
      <c r="AI54" s="144"/>
      <c r="AJ54" s="144"/>
      <c r="AK54" s="144"/>
      <c r="AL54" s="144"/>
      <c r="AM54" s="144"/>
      <c r="AN54" s="144"/>
    </row>
    <row r="55" spans="1:40" ht="13.5" customHeight="1" x14ac:dyDescent="0.2"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Z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</row>
  </sheetData>
  <pageMargins left="0.7" right="0.7" top="0.75" bottom="0.75" header="0.3" footer="0.3"/>
  <pageSetup paperSize="9" scale="74" orientation="landscape" r:id="rId1"/>
  <ignoredErrors>
    <ignoredError sqref="AA14:AI14 AJ14:AM14" formulaRang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  <pageSetUpPr fitToPage="1"/>
  </sheetPr>
  <dimension ref="A2:AV57"/>
  <sheetViews>
    <sheetView showGridLines="0" topLeftCell="A7" zoomScale="85" zoomScaleNormal="85" zoomScalePageLayoutView="115" workbookViewId="0">
      <selection activeCell="AM63" sqref="AM63"/>
    </sheetView>
  </sheetViews>
  <sheetFormatPr defaultColWidth="8.85546875" defaultRowHeight="13.5" customHeight="1" x14ac:dyDescent="0.25"/>
  <cols>
    <col min="1" max="1" width="61.42578125" style="39" customWidth="1"/>
    <col min="2" max="30" width="10.85546875" style="39" hidden="1" customWidth="1"/>
    <col min="31" max="31" width="0" style="39" hidden="1" customWidth="1"/>
    <col min="32" max="33" width="9.28515625" style="39" hidden="1" customWidth="1"/>
    <col min="34" max="35" width="10.85546875" style="39" hidden="1" customWidth="1"/>
    <col min="36" max="36" width="9.28515625" style="39" hidden="1" customWidth="1"/>
    <col min="37" max="48" width="9.28515625" style="39" bestFit="1" customWidth="1"/>
    <col min="49" max="239" width="8.85546875" style="39"/>
    <col min="240" max="240" width="38.28515625" style="39" customWidth="1"/>
    <col min="241" max="241" width="9.7109375" style="39" customWidth="1"/>
    <col min="242" max="244" width="8.28515625" style="39" customWidth="1"/>
    <col min="245" max="245" width="7.42578125" style="39" customWidth="1"/>
    <col min="246" max="246" width="8.7109375" style="39" customWidth="1"/>
    <col min="247" max="495" width="8.85546875" style="39"/>
    <col min="496" max="496" width="38.28515625" style="39" customWidth="1"/>
    <col min="497" max="497" width="9.7109375" style="39" customWidth="1"/>
    <col min="498" max="500" width="8.28515625" style="39" customWidth="1"/>
    <col min="501" max="501" width="7.42578125" style="39" customWidth="1"/>
    <col min="502" max="502" width="8.7109375" style="39" customWidth="1"/>
    <col min="503" max="751" width="8.85546875" style="39"/>
    <col min="752" max="752" width="38.28515625" style="39" customWidth="1"/>
    <col min="753" max="753" width="9.7109375" style="39" customWidth="1"/>
    <col min="754" max="756" width="8.28515625" style="39" customWidth="1"/>
    <col min="757" max="757" width="7.42578125" style="39" customWidth="1"/>
    <col min="758" max="758" width="8.7109375" style="39" customWidth="1"/>
    <col min="759" max="1007" width="8.85546875" style="39"/>
    <col min="1008" max="1008" width="38.28515625" style="39" customWidth="1"/>
    <col min="1009" max="1009" width="9.7109375" style="39" customWidth="1"/>
    <col min="1010" max="1012" width="8.28515625" style="39" customWidth="1"/>
    <col min="1013" max="1013" width="7.42578125" style="39" customWidth="1"/>
    <col min="1014" max="1014" width="8.7109375" style="39" customWidth="1"/>
    <col min="1015" max="1263" width="8.85546875" style="39"/>
    <col min="1264" max="1264" width="38.28515625" style="39" customWidth="1"/>
    <col min="1265" max="1265" width="9.7109375" style="39" customWidth="1"/>
    <col min="1266" max="1268" width="8.28515625" style="39" customWidth="1"/>
    <col min="1269" max="1269" width="7.42578125" style="39" customWidth="1"/>
    <col min="1270" max="1270" width="8.7109375" style="39" customWidth="1"/>
    <col min="1271" max="1519" width="8.85546875" style="39"/>
    <col min="1520" max="1520" width="38.28515625" style="39" customWidth="1"/>
    <col min="1521" max="1521" width="9.7109375" style="39" customWidth="1"/>
    <col min="1522" max="1524" width="8.28515625" style="39" customWidth="1"/>
    <col min="1525" max="1525" width="7.42578125" style="39" customWidth="1"/>
    <col min="1526" max="1526" width="8.7109375" style="39" customWidth="1"/>
    <col min="1527" max="1775" width="8.85546875" style="39"/>
    <col min="1776" max="1776" width="38.28515625" style="39" customWidth="1"/>
    <col min="1777" max="1777" width="9.7109375" style="39" customWidth="1"/>
    <col min="1778" max="1780" width="8.28515625" style="39" customWidth="1"/>
    <col min="1781" max="1781" width="7.42578125" style="39" customWidth="1"/>
    <col min="1782" max="1782" width="8.7109375" style="39" customWidth="1"/>
    <col min="1783" max="2031" width="8.85546875" style="39"/>
    <col min="2032" max="2032" width="38.28515625" style="39" customWidth="1"/>
    <col min="2033" max="2033" width="9.7109375" style="39" customWidth="1"/>
    <col min="2034" max="2036" width="8.28515625" style="39" customWidth="1"/>
    <col min="2037" max="2037" width="7.42578125" style="39" customWidth="1"/>
    <col min="2038" max="2038" width="8.7109375" style="39" customWidth="1"/>
    <col min="2039" max="2287" width="8.85546875" style="39"/>
    <col min="2288" max="2288" width="38.28515625" style="39" customWidth="1"/>
    <col min="2289" max="2289" width="9.7109375" style="39" customWidth="1"/>
    <col min="2290" max="2292" width="8.28515625" style="39" customWidth="1"/>
    <col min="2293" max="2293" width="7.42578125" style="39" customWidth="1"/>
    <col min="2294" max="2294" width="8.7109375" style="39" customWidth="1"/>
    <col min="2295" max="2543" width="8.85546875" style="39"/>
    <col min="2544" max="2544" width="38.28515625" style="39" customWidth="1"/>
    <col min="2545" max="2545" width="9.7109375" style="39" customWidth="1"/>
    <col min="2546" max="2548" width="8.28515625" style="39" customWidth="1"/>
    <col min="2549" max="2549" width="7.42578125" style="39" customWidth="1"/>
    <col min="2550" max="2550" width="8.7109375" style="39" customWidth="1"/>
    <col min="2551" max="2799" width="8.85546875" style="39"/>
    <col min="2800" max="2800" width="38.28515625" style="39" customWidth="1"/>
    <col min="2801" max="2801" width="9.7109375" style="39" customWidth="1"/>
    <col min="2802" max="2804" width="8.28515625" style="39" customWidth="1"/>
    <col min="2805" max="2805" width="7.42578125" style="39" customWidth="1"/>
    <col min="2806" max="2806" width="8.7109375" style="39" customWidth="1"/>
    <col min="2807" max="3055" width="8.85546875" style="39"/>
    <col min="3056" max="3056" width="38.28515625" style="39" customWidth="1"/>
    <col min="3057" max="3057" width="9.7109375" style="39" customWidth="1"/>
    <col min="3058" max="3060" width="8.28515625" style="39" customWidth="1"/>
    <col min="3061" max="3061" width="7.42578125" style="39" customWidth="1"/>
    <col min="3062" max="3062" width="8.7109375" style="39" customWidth="1"/>
    <col min="3063" max="3311" width="8.85546875" style="39"/>
    <col min="3312" max="3312" width="38.28515625" style="39" customWidth="1"/>
    <col min="3313" max="3313" width="9.7109375" style="39" customWidth="1"/>
    <col min="3314" max="3316" width="8.28515625" style="39" customWidth="1"/>
    <col min="3317" max="3317" width="7.42578125" style="39" customWidth="1"/>
    <col min="3318" max="3318" width="8.7109375" style="39" customWidth="1"/>
    <col min="3319" max="3567" width="8.85546875" style="39"/>
    <col min="3568" max="3568" width="38.28515625" style="39" customWidth="1"/>
    <col min="3569" max="3569" width="9.7109375" style="39" customWidth="1"/>
    <col min="3570" max="3572" width="8.28515625" style="39" customWidth="1"/>
    <col min="3573" max="3573" width="7.42578125" style="39" customWidth="1"/>
    <col min="3574" max="3574" width="8.7109375" style="39" customWidth="1"/>
    <col min="3575" max="3823" width="8.85546875" style="39"/>
    <col min="3824" max="3824" width="38.28515625" style="39" customWidth="1"/>
    <col min="3825" max="3825" width="9.7109375" style="39" customWidth="1"/>
    <col min="3826" max="3828" width="8.28515625" style="39" customWidth="1"/>
    <col min="3829" max="3829" width="7.42578125" style="39" customWidth="1"/>
    <col min="3830" max="3830" width="8.7109375" style="39" customWidth="1"/>
    <col min="3831" max="4079" width="8.85546875" style="39"/>
    <col min="4080" max="4080" width="38.28515625" style="39" customWidth="1"/>
    <col min="4081" max="4081" width="9.7109375" style="39" customWidth="1"/>
    <col min="4082" max="4084" width="8.28515625" style="39" customWidth="1"/>
    <col min="4085" max="4085" width="7.42578125" style="39" customWidth="1"/>
    <col min="4086" max="4086" width="8.7109375" style="39" customWidth="1"/>
    <col min="4087" max="4335" width="8.85546875" style="39"/>
    <col min="4336" max="4336" width="38.28515625" style="39" customWidth="1"/>
    <col min="4337" max="4337" width="9.7109375" style="39" customWidth="1"/>
    <col min="4338" max="4340" width="8.28515625" style="39" customWidth="1"/>
    <col min="4341" max="4341" width="7.42578125" style="39" customWidth="1"/>
    <col min="4342" max="4342" width="8.7109375" style="39" customWidth="1"/>
    <col min="4343" max="4591" width="8.85546875" style="39"/>
    <col min="4592" max="4592" width="38.28515625" style="39" customWidth="1"/>
    <col min="4593" max="4593" width="9.7109375" style="39" customWidth="1"/>
    <col min="4594" max="4596" width="8.28515625" style="39" customWidth="1"/>
    <col min="4597" max="4597" width="7.42578125" style="39" customWidth="1"/>
    <col min="4598" max="4598" width="8.7109375" style="39" customWidth="1"/>
    <col min="4599" max="4847" width="8.85546875" style="39"/>
    <col min="4848" max="4848" width="38.28515625" style="39" customWidth="1"/>
    <col min="4849" max="4849" width="9.7109375" style="39" customWidth="1"/>
    <col min="4850" max="4852" width="8.28515625" style="39" customWidth="1"/>
    <col min="4853" max="4853" width="7.42578125" style="39" customWidth="1"/>
    <col min="4854" max="4854" width="8.7109375" style="39" customWidth="1"/>
    <col min="4855" max="5103" width="8.85546875" style="39"/>
    <col min="5104" max="5104" width="38.28515625" style="39" customWidth="1"/>
    <col min="5105" max="5105" width="9.7109375" style="39" customWidth="1"/>
    <col min="5106" max="5108" width="8.28515625" style="39" customWidth="1"/>
    <col min="5109" max="5109" width="7.42578125" style="39" customWidth="1"/>
    <col min="5110" max="5110" width="8.7109375" style="39" customWidth="1"/>
    <col min="5111" max="5359" width="8.85546875" style="39"/>
    <col min="5360" max="5360" width="38.28515625" style="39" customWidth="1"/>
    <col min="5361" max="5361" width="9.7109375" style="39" customWidth="1"/>
    <col min="5362" max="5364" width="8.28515625" style="39" customWidth="1"/>
    <col min="5365" max="5365" width="7.42578125" style="39" customWidth="1"/>
    <col min="5366" max="5366" width="8.7109375" style="39" customWidth="1"/>
    <col min="5367" max="5615" width="8.85546875" style="39"/>
    <col min="5616" max="5616" width="38.28515625" style="39" customWidth="1"/>
    <col min="5617" max="5617" width="9.7109375" style="39" customWidth="1"/>
    <col min="5618" max="5620" width="8.28515625" style="39" customWidth="1"/>
    <col min="5621" max="5621" width="7.42578125" style="39" customWidth="1"/>
    <col min="5622" max="5622" width="8.7109375" style="39" customWidth="1"/>
    <col min="5623" max="5871" width="8.85546875" style="39"/>
    <col min="5872" max="5872" width="38.28515625" style="39" customWidth="1"/>
    <col min="5873" max="5873" width="9.7109375" style="39" customWidth="1"/>
    <col min="5874" max="5876" width="8.28515625" style="39" customWidth="1"/>
    <col min="5877" max="5877" width="7.42578125" style="39" customWidth="1"/>
    <col min="5878" max="5878" width="8.7109375" style="39" customWidth="1"/>
    <col min="5879" max="6127" width="8.85546875" style="39"/>
    <col min="6128" max="6128" width="38.28515625" style="39" customWidth="1"/>
    <col min="6129" max="6129" width="9.7109375" style="39" customWidth="1"/>
    <col min="6130" max="6132" width="8.28515625" style="39" customWidth="1"/>
    <col min="6133" max="6133" width="7.42578125" style="39" customWidth="1"/>
    <col min="6134" max="6134" width="8.7109375" style="39" customWidth="1"/>
    <col min="6135" max="6383" width="8.85546875" style="39"/>
    <col min="6384" max="6384" width="38.28515625" style="39" customWidth="1"/>
    <col min="6385" max="6385" width="9.7109375" style="39" customWidth="1"/>
    <col min="6386" max="6388" width="8.28515625" style="39" customWidth="1"/>
    <col min="6389" max="6389" width="7.42578125" style="39" customWidth="1"/>
    <col min="6390" max="6390" width="8.7109375" style="39" customWidth="1"/>
    <col min="6391" max="6639" width="8.85546875" style="39"/>
    <col min="6640" max="6640" width="38.28515625" style="39" customWidth="1"/>
    <col min="6641" max="6641" width="9.7109375" style="39" customWidth="1"/>
    <col min="6642" max="6644" width="8.28515625" style="39" customWidth="1"/>
    <col min="6645" max="6645" width="7.42578125" style="39" customWidth="1"/>
    <col min="6646" max="6646" width="8.7109375" style="39" customWidth="1"/>
    <col min="6647" max="6895" width="8.85546875" style="39"/>
    <col min="6896" max="6896" width="38.28515625" style="39" customWidth="1"/>
    <col min="6897" max="6897" width="9.7109375" style="39" customWidth="1"/>
    <col min="6898" max="6900" width="8.28515625" style="39" customWidth="1"/>
    <col min="6901" max="6901" width="7.42578125" style="39" customWidth="1"/>
    <col min="6902" max="6902" width="8.7109375" style="39" customWidth="1"/>
    <col min="6903" max="7151" width="8.85546875" style="39"/>
    <col min="7152" max="7152" width="38.28515625" style="39" customWidth="1"/>
    <col min="7153" max="7153" width="9.7109375" style="39" customWidth="1"/>
    <col min="7154" max="7156" width="8.28515625" style="39" customWidth="1"/>
    <col min="7157" max="7157" width="7.42578125" style="39" customWidth="1"/>
    <col min="7158" max="7158" width="8.7109375" style="39" customWidth="1"/>
    <col min="7159" max="7407" width="8.85546875" style="39"/>
    <col min="7408" max="7408" width="38.28515625" style="39" customWidth="1"/>
    <col min="7409" max="7409" width="9.7109375" style="39" customWidth="1"/>
    <col min="7410" max="7412" width="8.28515625" style="39" customWidth="1"/>
    <col min="7413" max="7413" width="7.42578125" style="39" customWidth="1"/>
    <col min="7414" max="7414" width="8.7109375" style="39" customWidth="1"/>
    <col min="7415" max="7663" width="8.85546875" style="39"/>
    <col min="7664" max="7664" width="38.28515625" style="39" customWidth="1"/>
    <col min="7665" max="7665" width="9.7109375" style="39" customWidth="1"/>
    <col min="7666" max="7668" width="8.28515625" style="39" customWidth="1"/>
    <col min="7669" max="7669" width="7.42578125" style="39" customWidth="1"/>
    <col min="7670" max="7670" width="8.7109375" style="39" customWidth="1"/>
    <col min="7671" max="7919" width="8.85546875" style="39"/>
    <col min="7920" max="7920" width="38.28515625" style="39" customWidth="1"/>
    <col min="7921" max="7921" width="9.7109375" style="39" customWidth="1"/>
    <col min="7922" max="7924" width="8.28515625" style="39" customWidth="1"/>
    <col min="7925" max="7925" width="7.42578125" style="39" customWidth="1"/>
    <col min="7926" max="7926" width="8.7109375" style="39" customWidth="1"/>
    <col min="7927" max="8175" width="8.85546875" style="39"/>
    <col min="8176" max="8176" width="38.28515625" style="39" customWidth="1"/>
    <col min="8177" max="8177" width="9.7109375" style="39" customWidth="1"/>
    <col min="8178" max="8180" width="8.28515625" style="39" customWidth="1"/>
    <col min="8181" max="8181" width="7.42578125" style="39" customWidth="1"/>
    <col min="8182" max="8182" width="8.7109375" style="39" customWidth="1"/>
    <col min="8183" max="8431" width="8.85546875" style="39"/>
    <col min="8432" max="8432" width="38.28515625" style="39" customWidth="1"/>
    <col min="8433" max="8433" width="9.7109375" style="39" customWidth="1"/>
    <col min="8434" max="8436" width="8.28515625" style="39" customWidth="1"/>
    <col min="8437" max="8437" width="7.42578125" style="39" customWidth="1"/>
    <col min="8438" max="8438" width="8.7109375" style="39" customWidth="1"/>
    <col min="8439" max="8687" width="8.85546875" style="39"/>
    <col min="8688" max="8688" width="38.28515625" style="39" customWidth="1"/>
    <col min="8689" max="8689" width="9.7109375" style="39" customWidth="1"/>
    <col min="8690" max="8692" width="8.28515625" style="39" customWidth="1"/>
    <col min="8693" max="8693" width="7.42578125" style="39" customWidth="1"/>
    <col min="8694" max="8694" width="8.7109375" style="39" customWidth="1"/>
    <col min="8695" max="8943" width="8.85546875" style="39"/>
    <col min="8944" max="8944" width="38.28515625" style="39" customWidth="1"/>
    <col min="8945" max="8945" width="9.7109375" style="39" customWidth="1"/>
    <col min="8946" max="8948" width="8.28515625" style="39" customWidth="1"/>
    <col min="8949" max="8949" width="7.42578125" style="39" customWidth="1"/>
    <col min="8950" max="8950" width="8.7109375" style="39" customWidth="1"/>
    <col min="8951" max="9199" width="8.85546875" style="39"/>
    <col min="9200" max="9200" width="38.28515625" style="39" customWidth="1"/>
    <col min="9201" max="9201" width="9.7109375" style="39" customWidth="1"/>
    <col min="9202" max="9204" width="8.28515625" style="39" customWidth="1"/>
    <col min="9205" max="9205" width="7.42578125" style="39" customWidth="1"/>
    <col min="9206" max="9206" width="8.7109375" style="39" customWidth="1"/>
    <col min="9207" max="9455" width="8.85546875" style="39"/>
    <col min="9456" max="9456" width="38.28515625" style="39" customWidth="1"/>
    <col min="9457" max="9457" width="9.7109375" style="39" customWidth="1"/>
    <col min="9458" max="9460" width="8.28515625" style="39" customWidth="1"/>
    <col min="9461" max="9461" width="7.42578125" style="39" customWidth="1"/>
    <col min="9462" max="9462" width="8.7109375" style="39" customWidth="1"/>
    <col min="9463" max="9711" width="8.85546875" style="39"/>
    <col min="9712" max="9712" width="38.28515625" style="39" customWidth="1"/>
    <col min="9713" max="9713" width="9.7109375" style="39" customWidth="1"/>
    <col min="9714" max="9716" width="8.28515625" style="39" customWidth="1"/>
    <col min="9717" max="9717" width="7.42578125" style="39" customWidth="1"/>
    <col min="9718" max="9718" width="8.7109375" style="39" customWidth="1"/>
    <col min="9719" max="9967" width="8.85546875" style="39"/>
    <col min="9968" max="9968" width="38.28515625" style="39" customWidth="1"/>
    <col min="9969" max="9969" width="9.7109375" style="39" customWidth="1"/>
    <col min="9970" max="9972" width="8.28515625" style="39" customWidth="1"/>
    <col min="9973" max="9973" width="7.42578125" style="39" customWidth="1"/>
    <col min="9974" max="9974" width="8.7109375" style="39" customWidth="1"/>
    <col min="9975" max="10223" width="8.85546875" style="39"/>
    <col min="10224" max="10224" width="38.28515625" style="39" customWidth="1"/>
    <col min="10225" max="10225" width="9.7109375" style="39" customWidth="1"/>
    <col min="10226" max="10228" width="8.28515625" style="39" customWidth="1"/>
    <col min="10229" max="10229" width="7.42578125" style="39" customWidth="1"/>
    <col min="10230" max="10230" width="8.7109375" style="39" customWidth="1"/>
    <col min="10231" max="10479" width="8.85546875" style="39"/>
    <col min="10480" max="10480" width="38.28515625" style="39" customWidth="1"/>
    <col min="10481" max="10481" width="9.7109375" style="39" customWidth="1"/>
    <col min="10482" max="10484" width="8.28515625" style="39" customWidth="1"/>
    <col min="10485" max="10485" width="7.42578125" style="39" customWidth="1"/>
    <col min="10486" max="10486" width="8.7109375" style="39" customWidth="1"/>
    <col min="10487" max="10735" width="8.85546875" style="39"/>
    <col min="10736" max="10736" width="38.28515625" style="39" customWidth="1"/>
    <col min="10737" max="10737" width="9.7109375" style="39" customWidth="1"/>
    <col min="10738" max="10740" width="8.28515625" style="39" customWidth="1"/>
    <col min="10741" max="10741" width="7.42578125" style="39" customWidth="1"/>
    <col min="10742" max="10742" width="8.7109375" style="39" customWidth="1"/>
    <col min="10743" max="10991" width="8.85546875" style="39"/>
    <col min="10992" max="10992" width="38.28515625" style="39" customWidth="1"/>
    <col min="10993" max="10993" width="9.7109375" style="39" customWidth="1"/>
    <col min="10994" max="10996" width="8.28515625" style="39" customWidth="1"/>
    <col min="10997" max="10997" width="7.42578125" style="39" customWidth="1"/>
    <col min="10998" max="10998" width="8.7109375" style="39" customWidth="1"/>
    <col min="10999" max="11247" width="8.85546875" style="39"/>
    <col min="11248" max="11248" width="38.28515625" style="39" customWidth="1"/>
    <col min="11249" max="11249" width="9.7109375" style="39" customWidth="1"/>
    <col min="11250" max="11252" width="8.28515625" style="39" customWidth="1"/>
    <col min="11253" max="11253" width="7.42578125" style="39" customWidth="1"/>
    <col min="11254" max="11254" width="8.7109375" style="39" customWidth="1"/>
    <col min="11255" max="11503" width="8.85546875" style="39"/>
    <col min="11504" max="11504" width="38.28515625" style="39" customWidth="1"/>
    <col min="11505" max="11505" width="9.7109375" style="39" customWidth="1"/>
    <col min="11506" max="11508" width="8.28515625" style="39" customWidth="1"/>
    <col min="11509" max="11509" width="7.42578125" style="39" customWidth="1"/>
    <col min="11510" max="11510" width="8.7109375" style="39" customWidth="1"/>
    <col min="11511" max="11759" width="8.85546875" style="39"/>
    <col min="11760" max="11760" width="38.28515625" style="39" customWidth="1"/>
    <col min="11761" max="11761" width="9.7109375" style="39" customWidth="1"/>
    <col min="11762" max="11764" width="8.28515625" style="39" customWidth="1"/>
    <col min="11765" max="11765" width="7.42578125" style="39" customWidth="1"/>
    <col min="11766" max="11766" width="8.7109375" style="39" customWidth="1"/>
    <col min="11767" max="12015" width="8.85546875" style="39"/>
    <col min="12016" max="12016" width="38.28515625" style="39" customWidth="1"/>
    <col min="12017" max="12017" width="9.7109375" style="39" customWidth="1"/>
    <col min="12018" max="12020" width="8.28515625" style="39" customWidth="1"/>
    <col min="12021" max="12021" width="7.42578125" style="39" customWidth="1"/>
    <col min="12022" max="12022" width="8.7109375" style="39" customWidth="1"/>
    <col min="12023" max="12271" width="8.85546875" style="39"/>
    <col min="12272" max="12272" width="38.28515625" style="39" customWidth="1"/>
    <col min="12273" max="12273" width="9.7109375" style="39" customWidth="1"/>
    <col min="12274" max="12276" width="8.28515625" style="39" customWidth="1"/>
    <col min="12277" max="12277" width="7.42578125" style="39" customWidth="1"/>
    <col min="12278" max="12278" width="8.7109375" style="39" customWidth="1"/>
    <col min="12279" max="12527" width="8.85546875" style="39"/>
    <col min="12528" max="12528" width="38.28515625" style="39" customWidth="1"/>
    <col min="12529" max="12529" width="9.7109375" style="39" customWidth="1"/>
    <col min="12530" max="12532" width="8.28515625" style="39" customWidth="1"/>
    <col min="12533" max="12533" width="7.42578125" style="39" customWidth="1"/>
    <col min="12534" max="12534" width="8.7109375" style="39" customWidth="1"/>
    <col min="12535" max="12783" width="8.85546875" style="39"/>
    <col min="12784" max="12784" width="38.28515625" style="39" customWidth="1"/>
    <col min="12785" max="12785" width="9.7109375" style="39" customWidth="1"/>
    <col min="12786" max="12788" width="8.28515625" style="39" customWidth="1"/>
    <col min="12789" max="12789" width="7.42578125" style="39" customWidth="1"/>
    <col min="12790" max="12790" width="8.7109375" style="39" customWidth="1"/>
    <col min="12791" max="13039" width="8.85546875" style="39"/>
    <col min="13040" max="13040" width="38.28515625" style="39" customWidth="1"/>
    <col min="13041" max="13041" width="9.7109375" style="39" customWidth="1"/>
    <col min="13042" max="13044" width="8.28515625" style="39" customWidth="1"/>
    <col min="13045" max="13045" width="7.42578125" style="39" customWidth="1"/>
    <col min="13046" max="13046" width="8.7109375" style="39" customWidth="1"/>
    <col min="13047" max="13295" width="8.85546875" style="39"/>
    <col min="13296" max="13296" width="38.28515625" style="39" customWidth="1"/>
    <col min="13297" max="13297" width="9.7109375" style="39" customWidth="1"/>
    <col min="13298" max="13300" width="8.28515625" style="39" customWidth="1"/>
    <col min="13301" max="13301" width="7.42578125" style="39" customWidth="1"/>
    <col min="13302" max="13302" width="8.7109375" style="39" customWidth="1"/>
    <col min="13303" max="13551" width="8.85546875" style="39"/>
    <col min="13552" max="13552" width="38.28515625" style="39" customWidth="1"/>
    <col min="13553" max="13553" width="9.7109375" style="39" customWidth="1"/>
    <col min="13554" max="13556" width="8.28515625" style="39" customWidth="1"/>
    <col min="13557" max="13557" width="7.42578125" style="39" customWidth="1"/>
    <col min="13558" max="13558" width="8.7109375" style="39" customWidth="1"/>
    <col min="13559" max="13807" width="8.85546875" style="39"/>
    <col min="13808" max="13808" width="38.28515625" style="39" customWidth="1"/>
    <col min="13809" max="13809" width="9.7109375" style="39" customWidth="1"/>
    <col min="13810" max="13812" width="8.28515625" style="39" customWidth="1"/>
    <col min="13813" max="13813" width="7.42578125" style="39" customWidth="1"/>
    <col min="13814" max="13814" width="8.7109375" style="39" customWidth="1"/>
    <col min="13815" max="14063" width="8.85546875" style="39"/>
    <col min="14064" max="14064" width="38.28515625" style="39" customWidth="1"/>
    <col min="14065" max="14065" width="9.7109375" style="39" customWidth="1"/>
    <col min="14066" max="14068" width="8.28515625" style="39" customWidth="1"/>
    <col min="14069" max="14069" width="7.42578125" style="39" customWidth="1"/>
    <col min="14070" max="14070" width="8.7109375" style="39" customWidth="1"/>
    <col min="14071" max="14319" width="8.85546875" style="39"/>
    <col min="14320" max="14320" width="38.28515625" style="39" customWidth="1"/>
    <col min="14321" max="14321" width="9.7109375" style="39" customWidth="1"/>
    <col min="14322" max="14324" width="8.28515625" style="39" customWidth="1"/>
    <col min="14325" max="14325" width="7.42578125" style="39" customWidth="1"/>
    <col min="14326" max="14326" width="8.7109375" style="39" customWidth="1"/>
    <col min="14327" max="14575" width="8.85546875" style="39"/>
    <col min="14576" max="14576" width="38.28515625" style="39" customWidth="1"/>
    <col min="14577" max="14577" width="9.7109375" style="39" customWidth="1"/>
    <col min="14578" max="14580" width="8.28515625" style="39" customWidth="1"/>
    <col min="14581" max="14581" width="7.42578125" style="39" customWidth="1"/>
    <col min="14582" max="14582" width="8.7109375" style="39" customWidth="1"/>
    <col min="14583" max="14831" width="8.85546875" style="39"/>
    <col min="14832" max="14832" width="38.28515625" style="39" customWidth="1"/>
    <col min="14833" max="14833" width="9.7109375" style="39" customWidth="1"/>
    <col min="14834" max="14836" width="8.28515625" style="39" customWidth="1"/>
    <col min="14837" max="14837" width="7.42578125" style="39" customWidth="1"/>
    <col min="14838" max="14838" width="8.7109375" style="39" customWidth="1"/>
    <col min="14839" max="15087" width="8.85546875" style="39"/>
    <col min="15088" max="15088" width="38.28515625" style="39" customWidth="1"/>
    <col min="15089" max="15089" width="9.7109375" style="39" customWidth="1"/>
    <col min="15090" max="15092" width="8.28515625" style="39" customWidth="1"/>
    <col min="15093" max="15093" width="7.42578125" style="39" customWidth="1"/>
    <col min="15094" max="15094" width="8.7109375" style="39" customWidth="1"/>
    <col min="15095" max="15343" width="8.85546875" style="39"/>
    <col min="15344" max="15344" width="38.28515625" style="39" customWidth="1"/>
    <col min="15345" max="15345" width="9.7109375" style="39" customWidth="1"/>
    <col min="15346" max="15348" width="8.28515625" style="39" customWidth="1"/>
    <col min="15349" max="15349" width="7.42578125" style="39" customWidth="1"/>
    <col min="15350" max="15350" width="8.7109375" style="39" customWidth="1"/>
    <col min="15351" max="15599" width="8.85546875" style="39"/>
    <col min="15600" max="15600" width="38.28515625" style="39" customWidth="1"/>
    <col min="15601" max="15601" width="9.7109375" style="39" customWidth="1"/>
    <col min="15602" max="15604" width="8.28515625" style="39" customWidth="1"/>
    <col min="15605" max="15605" width="7.42578125" style="39" customWidth="1"/>
    <col min="15606" max="15606" width="8.7109375" style="39" customWidth="1"/>
    <col min="15607" max="15855" width="8.85546875" style="39"/>
    <col min="15856" max="15856" width="38.28515625" style="39" customWidth="1"/>
    <col min="15857" max="15857" width="9.7109375" style="39" customWidth="1"/>
    <col min="15858" max="15860" width="8.28515625" style="39" customWidth="1"/>
    <col min="15861" max="15861" width="7.42578125" style="39" customWidth="1"/>
    <col min="15862" max="15862" width="8.7109375" style="39" customWidth="1"/>
    <col min="15863" max="16111" width="8.85546875" style="39"/>
    <col min="16112" max="16112" width="38.28515625" style="39" customWidth="1"/>
    <col min="16113" max="16113" width="9.7109375" style="39" customWidth="1"/>
    <col min="16114" max="16116" width="8.28515625" style="39" customWidth="1"/>
    <col min="16117" max="16117" width="7.42578125" style="39" customWidth="1"/>
    <col min="16118" max="16118" width="8.7109375" style="39" customWidth="1"/>
    <col min="16119" max="16384" width="8.85546875" style="39"/>
  </cols>
  <sheetData>
    <row r="2" spans="1:48" ht="13.5" customHeight="1" x14ac:dyDescent="0.25">
      <c r="A2" s="97"/>
      <c r="B2" s="94" t="s">
        <v>0</v>
      </c>
      <c r="C2" s="94" t="s">
        <v>1</v>
      </c>
      <c r="D2" s="94" t="s">
        <v>2</v>
      </c>
      <c r="E2" s="94" t="s">
        <v>3</v>
      </c>
      <c r="F2" s="94" t="s">
        <v>4</v>
      </c>
      <c r="G2" s="94" t="s">
        <v>110</v>
      </c>
      <c r="H2" s="94" t="s">
        <v>111</v>
      </c>
      <c r="I2" s="94" t="s">
        <v>112</v>
      </c>
      <c r="J2" s="94" t="s">
        <v>113</v>
      </c>
      <c r="K2" s="94" t="s">
        <v>114</v>
      </c>
      <c r="L2" s="96" t="s">
        <v>115</v>
      </c>
      <c r="M2" s="96" t="s">
        <v>116</v>
      </c>
      <c r="N2" s="96" t="s">
        <v>117</v>
      </c>
      <c r="O2" s="96" t="s">
        <v>118</v>
      </c>
      <c r="P2" s="96" t="s">
        <v>119</v>
      </c>
      <c r="Q2" s="96" t="s">
        <v>120</v>
      </c>
      <c r="R2" s="96" t="s">
        <v>121</v>
      </c>
      <c r="S2" s="96" t="s">
        <v>122</v>
      </c>
      <c r="T2" s="96" t="s">
        <v>123</v>
      </c>
      <c r="U2" s="96" t="s">
        <v>124</v>
      </c>
      <c r="V2" s="96" t="s">
        <v>20</v>
      </c>
      <c r="W2" s="96" t="s">
        <v>21</v>
      </c>
      <c r="X2" s="96" t="s">
        <v>22</v>
      </c>
      <c r="Y2" s="96" t="s">
        <v>23</v>
      </c>
      <c r="Z2" s="96" t="s">
        <v>24</v>
      </c>
      <c r="AA2" s="96" t="s">
        <v>25</v>
      </c>
      <c r="AB2" s="96" t="s">
        <v>26</v>
      </c>
      <c r="AC2" s="96" t="s">
        <v>27</v>
      </c>
      <c r="AD2" s="96" t="s">
        <v>28</v>
      </c>
      <c r="AE2" s="96" t="s">
        <v>29</v>
      </c>
      <c r="AF2" s="96" t="s">
        <v>30</v>
      </c>
      <c r="AG2" s="96" t="s">
        <v>31</v>
      </c>
      <c r="AH2" s="96" t="s">
        <v>32</v>
      </c>
      <c r="AI2" s="96" t="s">
        <v>33</v>
      </c>
      <c r="AJ2" s="96" t="s">
        <v>34</v>
      </c>
      <c r="AK2" s="96" t="s">
        <v>198</v>
      </c>
      <c r="AL2" s="96" t="s">
        <v>199</v>
      </c>
      <c r="AM2" s="96" t="s">
        <v>200</v>
      </c>
      <c r="AN2" s="96" t="s">
        <v>201</v>
      </c>
      <c r="AO2" s="96" t="s">
        <v>202</v>
      </c>
      <c r="AP2" s="96" t="s">
        <v>207</v>
      </c>
      <c r="AQ2" s="96" t="s">
        <v>208</v>
      </c>
      <c r="AR2" s="96" t="s">
        <v>209</v>
      </c>
      <c r="AS2" s="96" t="s">
        <v>210</v>
      </c>
      <c r="AT2" s="96" t="s">
        <v>212</v>
      </c>
      <c r="AU2" s="96" t="s">
        <v>213</v>
      </c>
      <c r="AV2" s="96" t="s">
        <v>216</v>
      </c>
    </row>
    <row r="3" spans="1:48" ht="13.5" customHeight="1" x14ac:dyDescent="0.25">
      <c r="A3" s="92" t="s">
        <v>125</v>
      </c>
      <c r="B3" s="99">
        <v>6.8</v>
      </c>
      <c r="C3" s="99">
        <v>6.8</v>
      </c>
      <c r="D3" s="99">
        <v>-4.3</v>
      </c>
      <c r="E3" s="99">
        <v>-109.5</v>
      </c>
      <c r="F3" s="99">
        <v>-100.2</v>
      </c>
      <c r="G3" s="26">
        <v>-6</v>
      </c>
      <c r="H3" s="26">
        <v>14.8</v>
      </c>
      <c r="I3" s="26">
        <v>21.5</v>
      </c>
      <c r="J3" s="26">
        <v>13.2</v>
      </c>
      <c r="K3" s="26">
        <v>43.5</v>
      </c>
      <c r="L3" s="26">
        <v>27.6</v>
      </c>
      <c r="M3" s="26">
        <v>0</v>
      </c>
      <c r="N3" s="26">
        <v>24.8</v>
      </c>
      <c r="O3" s="26">
        <v>24.4</v>
      </c>
      <c r="P3" s="26">
        <v>76.800000000000011</v>
      </c>
      <c r="Q3" s="26">
        <v>53</v>
      </c>
      <c r="R3" s="26">
        <v>50.7</v>
      </c>
      <c r="S3" s="26">
        <v>33.299999999999997</v>
      </c>
      <c r="T3" s="26">
        <v>47.3</v>
      </c>
      <c r="U3" s="26">
        <v>184.3</v>
      </c>
      <c r="V3" s="26">
        <v>-297</v>
      </c>
      <c r="W3" s="26">
        <f>38.7-2.2</f>
        <v>36.5</v>
      </c>
      <c r="X3" s="26">
        <v>22.2</v>
      </c>
      <c r="Y3" s="26">
        <v>-33.700000000000003</v>
      </c>
      <c r="Z3" s="26">
        <f>SUM(V3:Y3)</f>
        <v>-272</v>
      </c>
      <c r="AA3" s="26">
        <v>56.9</v>
      </c>
      <c r="AB3" s="26">
        <v>12.3</v>
      </c>
      <c r="AC3" s="26">
        <v>10.5</v>
      </c>
      <c r="AD3" s="26">
        <v>-32.799999999999997</v>
      </c>
      <c r="AE3" s="26">
        <v>46.9</v>
      </c>
      <c r="AF3" s="26">
        <v>54.1</v>
      </c>
      <c r="AG3" s="26">
        <v>18.399999999999999</v>
      </c>
      <c r="AH3" s="26">
        <v>32.9</v>
      </c>
      <c r="AI3" s="145">
        <f>+AJ3-AH3-AG3-AF3</f>
        <v>44.299999999999976</v>
      </c>
      <c r="AJ3" s="145">
        <v>149.69999999999999</v>
      </c>
      <c r="AK3" s="145">
        <v>20.8</v>
      </c>
      <c r="AL3" s="145">
        <v>14</v>
      </c>
      <c r="AM3" s="145">
        <v>36.1</v>
      </c>
      <c r="AN3" s="145">
        <v>42.4</v>
      </c>
      <c r="AO3" s="145">
        <f>SUM(AK3:AN3)</f>
        <v>113.30000000000001</v>
      </c>
      <c r="AP3" s="145">
        <v>39.5</v>
      </c>
      <c r="AQ3" s="145">
        <v>31.5</v>
      </c>
      <c r="AR3" s="145">
        <v>15.5</v>
      </c>
      <c r="AS3" s="145">
        <v>40.799999999999997</v>
      </c>
      <c r="AT3" s="145">
        <v>127.2</v>
      </c>
      <c r="AU3" s="145">
        <v>79.5</v>
      </c>
      <c r="AV3" s="170">
        <v>25.1</v>
      </c>
    </row>
    <row r="4" spans="1:48" ht="13.5" customHeight="1" x14ac:dyDescent="0.25">
      <c r="A4" s="100" t="s">
        <v>126</v>
      </c>
      <c r="B4" s="99"/>
      <c r="C4" s="99"/>
      <c r="D4" s="99"/>
      <c r="E4" s="99"/>
      <c r="F4" s="99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>
        <v>0</v>
      </c>
      <c r="AE4" s="26"/>
      <c r="AF4" s="26"/>
      <c r="AG4" s="26"/>
      <c r="AH4" s="26"/>
      <c r="AI4" s="145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8"/>
    </row>
    <row r="5" spans="1:48" ht="13.5" customHeight="1" x14ac:dyDescent="0.25">
      <c r="A5" s="92" t="s">
        <v>127</v>
      </c>
      <c r="B5" s="99"/>
      <c r="C5" s="99"/>
      <c r="D5" s="99"/>
      <c r="E5" s="99"/>
      <c r="F5" s="99"/>
      <c r="G5" s="26">
        <v>57.3</v>
      </c>
      <c r="H5" s="26">
        <v>57.8</v>
      </c>
      <c r="I5" s="26">
        <v>55.2</v>
      </c>
      <c r="J5" s="26">
        <v>58.3</v>
      </c>
      <c r="K5" s="26">
        <v>228.6</v>
      </c>
      <c r="L5" s="26">
        <v>77</v>
      </c>
      <c r="M5" s="26">
        <v>83.2</v>
      </c>
      <c r="N5" s="26">
        <v>86.7</v>
      </c>
      <c r="O5" s="26">
        <v>91.7</v>
      </c>
      <c r="P5" s="26">
        <v>338.59999999999997</v>
      </c>
      <c r="Q5" s="26">
        <v>104.1</v>
      </c>
      <c r="R5" s="26">
        <v>101</v>
      </c>
      <c r="S5" s="26">
        <v>96.4</v>
      </c>
      <c r="T5" s="26">
        <v>110.9</v>
      </c>
      <c r="U5" s="26">
        <v>412.4</v>
      </c>
      <c r="V5" s="26">
        <v>95.5</v>
      </c>
      <c r="W5" s="26">
        <v>63.2</v>
      </c>
      <c r="X5" s="26">
        <v>63</v>
      </c>
      <c r="Y5" s="26">
        <v>62.3</v>
      </c>
      <c r="Z5" s="26">
        <f t="shared" ref="Z5:Z13" si="0">SUM(V5:Y5)</f>
        <v>284</v>
      </c>
      <c r="AA5" s="26">
        <v>65.2</v>
      </c>
      <c r="AB5" s="26">
        <f>68</f>
        <v>68</v>
      </c>
      <c r="AC5" s="26">
        <v>68.8</v>
      </c>
      <c r="AD5" s="26">
        <v>68.000000000000014</v>
      </c>
      <c r="AE5" s="26">
        <v>270</v>
      </c>
      <c r="AF5" s="26">
        <v>55.3</v>
      </c>
      <c r="AG5" s="26">
        <v>51.4</v>
      </c>
      <c r="AH5" s="26">
        <v>50.8</v>
      </c>
      <c r="AI5" s="26">
        <f t="shared" ref="AI5:AI22" si="1">+AJ5-AH5-AG5-AF5</f>
        <v>51.3</v>
      </c>
      <c r="AJ5" s="145">
        <v>208.8</v>
      </c>
      <c r="AK5" s="145">
        <v>48.2</v>
      </c>
      <c r="AL5" s="145">
        <v>46.3</v>
      </c>
      <c r="AM5" s="145">
        <v>45.9</v>
      </c>
      <c r="AN5" s="145">
        <v>46.8</v>
      </c>
      <c r="AO5" s="145">
        <f>SUM(AK5:AN5)</f>
        <v>187.2</v>
      </c>
      <c r="AP5" s="145">
        <v>45.7</v>
      </c>
      <c r="AQ5" s="145">
        <v>45.5</v>
      </c>
      <c r="AR5" s="145">
        <v>45.6</v>
      </c>
      <c r="AS5" s="145">
        <f>AT5-SUM(AP5:AR5)</f>
        <v>41.099999999999994</v>
      </c>
      <c r="AT5" s="145">
        <v>177.9</v>
      </c>
      <c r="AU5" s="145">
        <v>32.4</v>
      </c>
      <c r="AV5" s="170">
        <v>21.4</v>
      </c>
    </row>
    <row r="6" spans="1:48" ht="13.5" customHeight="1" x14ac:dyDescent="0.2">
      <c r="A6" s="92" t="s">
        <v>128</v>
      </c>
      <c r="B6" s="74">
        <v>60.4</v>
      </c>
      <c r="C6" s="74">
        <v>54.4</v>
      </c>
      <c r="D6" s="74">
        <v>56</v>
      </c>
      <c r="E6" s="74">
        <v>56.6</v>
      </c>
      <c r="F6" s="74">
        <v>227.4</v>
      </c>
      <c r="G6" s="74">
        <v>57.3</v>
      </c>
      <c r="H6" s="74">
        <v>27.4</v>
      </c>
      <c r="I6" s="74">
        <v>0</v>
      </c>
      <c r="J6" s="74">
        <v>0</v>
      </c>
      <c r="K6" s="74">
        <v>27.4</v>
      </c>
      <c r="L6" s="74">
        <v>0</v>
      </c>
      <c r="M6" s="74">
        <v>0.1</v>
      </c>
      <c r="N6" s="74">
        <v>0</v>
      </c>
      <c r="O6" s="74">
        <v>0</v>
      </c>
      <c r="P6" s="74">
        <v>0.1</v>
      </c>
      <c r="Q6" s="26">
        <v>0</v>
      </c>
      <c r="R6" s="26">
        <v>0</v>
      </c>
      <c r="S6" s="26">
        <v>0</v>
      </c>
      <c r="T6" s="26">
        <v>0</v>
      </c>
      <c r="U6" s="26">
        <v>0</v>
      </c>
      <c r="V6" s="26">
        <f>218.8+14.3</f>
        <v>233.10000000000002</v>
      </c>
      <c r="W6" s="26">
        <v>0</v>
      </c>
      <c r="X6" s="26">
        <v>0</v>
      </c>
      <c r="Y6" s="26">
        <v>59.6</v>
      </c>
      <c r="Z6" s="26">
        <f t="shared" si="0"/>
        <v>292.70000000000005</v>
      </c>
      <c r="AA6" s="26">
        <v>4.2</v>
      </c>
      <c r="AB6" s="26">
        <v>0</v>
      </c>
      <c r="AC6" s="26">
        <v>0</v>
      </c>
      <c r="AD6" s="26">
        <v>86.3</v>
      </c>
      <c r="AE6" s="26">
        <v>90.5</v>
      </c>
      <c r="AF6" s="26">
        <f>-1.8+1.8</f>
        <v>0</v>
      </c>
      <c r="AG6" s="26">
        <v>0</v>
      </c>
      <c r="AH6" s="26">
        <v>0</v>
      </c>
      <c r="AI6" s="26">
        <f t="shared" si="1"/>
        <v>15.8</v>
      </c>
      <c r="AJ6" s="26">
        <v>15.8</v>
      </c>
      <c r="AK6" s="26">
        <v>0</v>
      </c>
      <c r="AL6" s="26">
        <v>5.0999999999999996</v>
      </c>
      <c r="AM6" s="26">
        <v>0</v>
      </c>
      <c r="AN6" s="26">
        <v>0</v>
      </c>
      <c r="AO6" s="145">
        <f>SUM(AK6:AN6)</f>
        <v>5.0999999999999996</v>
      </c>
      <c r="AP6" s="26">
        <v>-1.1000000000000001</v>
      </c>
      <c r="AQ6" s="26">
        <v>0</v>
      </c>
      <c r="AR6" s="26">
        <v>0</v>
      </c>
      <c r="AS6" s="145">
        <f>AT6-SUM(AP6:AR6)</f>
        <v>0</v>
      </c>
      <c r="AT6" s="145">
        <v>-1.1000000000000001</v>
      </c>
      <c r="AU6" s="145">
        <v>0</v>
      </c>
      <c r="AV6" s="170">
        <v>14.5</v>
      </c>
    </row>
    <row r="7" spans="1:48" ht="13.5" customHeight="1" x14ac:dyDescent="0.2">
      <c r="A7" s="92" t="s">
        <v>129</v>
      </c>
      <c r="B7" s="99">
        <v>0.8</v>
      </c>
      <c r="C7" s="99">
        <v>5.3</v>
      </c>
      <c r="D7" s="99">
        <v>1.6</v>
      </c>
      <c r="E7" s="99">
        <v>223.3</v>
      </c>
      <c r="F7" s="99">
        <v>231</v>
      </c>
      <c r="G7" s="26">
        <v>0</v>
      </c>
      <c r="H7" s="26">
        <v>-5.5</v>
      </c>
      <c r="I7" s="74">
        <v>-20.5</v>
      </c>
      <c r="J7" s="26">
        <v>4.3</v>
      </c>
      <c r="K7" s="26">
        <v>-31.7</v>
      </c>
      <c r="L7" s="26">
        <v>-29.4</v>
      </c>
      <c r="M7" s="26">
        <v>14</v>
      </c>
      <c r="N7" s="26">
        <v>-4.9000000000000004</v>
      </c>
      <c r="O7" s="26">
        <v>34</v>
      </c>
      <c r="P7" s="26">
        <v>13.700000000000003</v>
      </c>
      <c r="Q7" s="26">
        <v>6.7</v>
      </c>
      <c r="R7" s="26">
        <v>9.8000000000000007</v>
      </c>
      <c r="S7" s="26">
        <v>28.4</v>
      </c>
      <c r="T7" s="26">
        <v>-94.7</v>
      </c>
      <c r="U7" s="26">
        <v>-49.8</v>
      </c>
      <c r="V7" s="26">
        <v>42.6</v>
      </c>
      <c r="W7" s="26">
        <v>-11</v>
      </c>
      <c r="X7" s="26">
        <v>-11.2</v>
      </c>
      <c r="Y7" s="26">
        <v>-26.5</v>
      </c>
      <c r="Z7" s="26">
        <f t="shared" si="0"/>
        <v>-6.0999999999999979</v>
      </c>
      <c r="AA7" s="26">
        <f>-25.3+3.3-0.1</f>
        <v>-22.1</v>
      </c>
      <c r="AB7" s="26">
        <f>5.7+3.3</f>
        <v>9</v>
      </c>
      <c r="AC7" s="26">
        <v>3</v>
      </c>
      <c r="AD7" s="26">
        <v>-5.8999999999999986</v>
      </c>
      <c r="AE7" s="26">
        <v>-16</v>
      </c>
      <c r="AF7" s="26">
        <v>-26.1</v>
      </c>
      <c r="AG7" s="26">
        <v>1.9</v>
      </c>
      <c r="AH7" s="26">
        <v>-5.7</v>
      </c>
      <c r="AI7" s="26">
        <f t="shared" si="1"/>
        <v>-24.399999999999991</v>
      </c>
      <c r="AJ7" s="145">
        <v>-54.3</v>
      </c>
      <c r="AK7" s="145">
        <f>18.5-4.6</f>
        <v>13.9</v>
      </c>
      <c r="AL7" s="145">
        <v>-2.9</v>
      </c>
      <c r="AM7" s="145">
        <v>-10.4</v>
      </c>
      <c r="AN7" s="145">
        <v>-11.5</v>
      </c>
      <c r="AO7" s="145">
        <f>SUM(AK7:AN7)</f>
        <v>-10.9</v>
      </c>
      <c r="AP7" s="145">
        <v>-3.1</v>
      </c>
      <c r="AQ7" s="145">
        <v>-2.5</v>
      </c>
      <c r="AR7" s="145">
        <v>8.1</v>
      </c>
      <c r="AS7" s="145">
        <f>AT7-SUM(AP7:AR7)</f>
        <v>-2.6</v>
      </c>
      <c r="AT7" s="145">
        <v>-0.10000000000000009</v>
      </c>
      <c r="AU7" s="145">
        <v>-6.5</v>
      </c>
      <c r="AV7" s="170">
        <v>-6.3</v>
      </c>
    </row>
    <row r="8" spans="1:48" ht="13.5" customHeight="1" x14ac:dyDescent="0.2">
      <c r="A8" s="92" t="s">
        <v>130</v>
      </c>
      <c r="B8" s="74">
        <v>6.1</v>
      </c>
      <c r="C8" s="74">
        <v>3.9</v>
      </c>
      <c r="D8" s="74">
        <v>-1.9</v>
      </c>
      <c r="E8" s="74">
        <v>3.8</v>
      </c>
      <c r="F8" s="99">
        <v>11.899999999999999</v>
      </c>
      <c r="G8" s="74">
        <v>-10</v>
      </c>
      <c r="H8" s="74">
        <v>13.3</v>
      </c>
      <c r="I8" s="74">
        <v>16.899999999999999</v>
      </c>
      <c r="J8" s="74">
        <v>-11.1</v>
      </c>
      <c r="K8" s="74">
        <v>28</v>
      </c>
      <c r="L8" s="74">
        <v>14.1</v>
      </c>
      <c r="M8" s="74">
        <v>-12.3</v>
      </c>
      <c r="N8" s="74">
        <v>0.6</v>
      </c>
      <c r="O8" s="74">
        <v>-15.7</v>
      </c>
      <c r="P8" s="74">
        <v>-13.3</v>
      </c>
      <c r="Q8" s="26">
        <v>0.6</v>
      </c>
      <c r="R8" s="26">
        <v>4.9000000000000004</v>
      </c>
      <c r="S8" s="26">
        <v>-16.899999999999999</v>
      </c>
      <c r="T8" s="26">
        <v>1.7</v>
      </c>
      <c r="U8" s="26">
        <v>-9.6999999999999993</v>
      </c>
      <c r="V8" s="26">
        <v>-9.3000000000000007</v>
      </c>
      <c r="W8" s="26">
        <v>7</v>
      </c>
      <c r="X8" s="26">
        <v>2.5</v>
      </c>
      <c r="Y8" s="26">
        <v>10.6</v>
      </c>
      <c r="Z8" s="26">
        <f t="shared" si="0"/>
        <v>10.799999999999999</v>
      </c>
      <c r="AA8" s="26">
        <v>2.8</v>
      </c>
      <c r="AB8" s="26">
        <v>-3.6</v>
      </c>
      <c r="AC8" s="26">
        <v>-2.2999999999999998</v>
      </c>
      <c r="AD8" s="26">
        <v>-0.89999999999999991</v>
      </c>
      <c r="AE8" s="26">
        <v>-4</v>
      </c>
      <c r="AF8" s="26">
        <v>-0.2</v>
      </c>
      <c r="AG8" s="26">
        <v>-9.1999999999999993</v>
      </c>
      <c r="AH8" s="26">
        <v>-6.1</v>
      </c>
      <c r="AI8" s="26">
        <f t="shared" si="1"/>
        <v>5.6999999999999984</v>
      </c>
      <c r="AJ8" s="145">
        <v>-9.8000000000000007</v>
      </c>
      <c r="AK8" s="145">
        <v>0.6</v>
      </c>
      <c r="AL8" s="145">
        <v>-10.9</v>
      </c>
      <c r="AM8" s="145">
        <v>0.6</v>
      </c>
      <c r="AN8" s="145">
        <v>17.8</v>
      </c>
      <c r="AO8" s="145">
        <f>SUM(AK8:AN8)</f>
        <v>8.1</v>
      </c>
      <c r="AP8" s="145">
        <v>-5.7</v>
      </c>
      <c r="AQ8" s="145">
        <v>1</v>
      </c>
      <c r="AR8" s="145">
        <v>0.2</v>
      </c>
      <c r="AS8" s="145">
        <f>AT8-SUM(AP8:AR8)</f>
        <v>-6</v>
      </c>
      <c r="AT8" s="145">
        <v>-10.5</v>
      </c>
      <c r="AU8" s="145">
        <v>6.5</v>
      </c>
      <c r="AV8" s="170">
        <v>1.7</v>
      </c>
    </row>
    <row r="9" spans="1:48" ht="13.5" customHeight="1" x14ac:dyDescent="0.2">
      <c r="A9" s="92" t="s">
        <v>131</v>
      </c>
      <c r="B9" s="99">
        <v>13.7</v>
      </c>
      <c r="C9" s="99">
        <v>0.7</v>
      </c>
      <c r="D9" s="99">
        <v>13.1</v>
      </c>
      <c r="E9" s="99">
        <v>-21.200000000000003</v>
      </c>
      <c r="F9" s="99">
        <v>6.2999999999999972</v>
      </c>
      <c r="G9" s="26">
        <v>8.9</v>
      </c>
      <c r="H9" s="26">
        <v>10.199999999999999</v>
      </c>
      <c r="I9" s="74">
        <v>8.3000000000000007</v>
      </c>
      <c r="J9" s="26">
        <v>8.3000000000000007</v>
      </c>
      <c r="K9" s="26">
        <v>37.799999999999997</v>
      </c>
      <c r="L9" s="26">
        <v>18.399999999999999</v>
      </c>
      <c r="M9" s="26">
        <v>19.8</v>
      </c>
      <c r="N9" s="26">
        <v>18.3</v>
      </c>
      <c r="O9" s="26">
        <v>20.6</v>
      </c>
      <c r="P9" s="26">
        <v>77.099999999999994</v>
      </c>
      <c r="Q9" s="26">
        <v>21</v>
      </c>
      <c r="R9" s="26">
        <v>21.2</v>
      </c>
      <c r="S9" s="26">
        <v>19.600000000000001</v>
      </c>
      <c r="T9" s="26">
        <v>20</v>
      </c>
      <c r="U9" s="26">
        <v>81.8</v>
      </c>
      <c r="V9" s="26">
        <f>16.4+0.9</f>
        <v>17.299999999999997</v>
      </c>
      <c r="W9" s="26">
        <v>15.2</v>
      </c>
      <c r="X9" s="26">
        <v>13.2</v>
      </c>
      <c r="Y9" s="26">
        <v>12.4</v>
      </c>
      <c r="Z9" s="26">
        <f t="shared" si="0"/>
        <v>58.1</v>
      </c>
      <c r="AA9" s="26">
        <v>12.4</v>
      </c>
      <c r="AB9" s="26">
        <v>12.3</v>
      </c>
      <c r="AC9" s="26">
        <v>11.9</v>
      </c>
      <c r="AD9" s="26">
        <v>11.500000000000002</v>
      </c>
      <c r="AE9" s="26">
        <v>48.1</v>
      </c>
      <c r="AF9" s="26">
        <v>10.9</v>
      </c>
      <c r="AG9" s="26">
        <v>10.9</v>
      </c>
      <c r="AH9" s="26">
        <v>11.6</v>
      </c>
      <c r="AI9" s="26">
        <f t="shared" si="1"/>
        <v>12.1</v>
      </c>
      <c r="AJ9" s="145">
        <v>45.5</v>
      </c>
      <c r="AK9" s="145">
        <f>7.8+4.6</f>
        <v>12.399999999999999</v>
      </c>
      <c r="AL9" s="145">
        <v>8.8000000000000007</v>
      </c>
      <c r="AM9" s="145">
        <v>10.1</v>
      </c>
      <c r="AN9" s="145">
        <v>9</v>
      </c>
      <c r="AO9" s="145">
        <f>SUM(AK9:AN9)</f>
        <v>40.299999999999997</v>
      </c>
      <c r="AP9" s="145">
        <v>8.6999999999999993</v>
      </c>
      <c r="AQ9" s="145">
        <v>4.8</v>
      </c>
      <c r="AR9" s="145">
        <v>4.3</v>
      </c>
      <c r="AS9" s="145">
        <f>AT9-SUM(AP9:AR9)</f>
        <v>3.1000000000000014</v>
      </c>
      <c r="AT9" s="145">
        <v>20.900000000000002</v>
      </c>
      <c r="AU9" s="145">
        <v>-1.1000000000000001</v>
      </c>
      <c r="AV9" s="170">
        <v>0</v>
      </c>
    </row>
    <row r="10" spans="1:48" ht="13.5" hidden="1" customHeight="1" x14ac:dyDescent="0.2">
      <c r="A10" s="92" t="s">
        <v>132</v>
      </c>
      <c r="B10" s="74">
        <v>11.1</v>
      </c>
      <c r="C10" s="74">
        <v>10.3</v>
      </c>
      <c r="D10" s="74">
        <v>11.6</v>
      </c>
      <c r="E10" s="74">
        <v>11.5</v>
      </c>
      <c r="F10" s="99">
        <v>44.5</v>
      </c>
      <c r="G10" s="74">
        <v>11</v>
      </c>
      <c r="H10" s="74">
        <v>0</v>
      </c>
      <c r="I10" s="26">
        <v>0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0.2</v>
      </c>
      <c r="P10" s="74">
        <v>0.2</v>
      </c>
      <c r="Q10" s="26">
        <v>0.2</v>
      </c>
      <c r="R10" s="26">
        <v>0.4</v>
      </c>
      <c r="S10" s="26">
        <v>0.2</v>
      </c>
      <c r="T10" s="26">
        <v>-0.5</v>
      </c>
      <c r="U10" s="26">
        <v>0.3</v>
      </c>
      <c r="V10" s="26">
        <v>0</v>
      </c>
      <c r="W10" s="26">
        <v>0</v>
      </c>
      <c r="X10" s="26">
        <v>0</v>
      </c>
      <c r="Y10" s="26">
        <v>0</v>
      </c>
      <c r="Z10" s="26">
        <f t="shared" si="0"/>
        <v>0</v>
      </c>
      <c r="AA10" s="26">
        <v>0</v>
      </c>
      <c r="AB10" s="26">
        <v>0</v>
      </c>
      <c r="AC10" s="26">
        <v>0</v>
      </c>
      <c r="AD10" s="26">
        <v>0</v>
      </c>
      <c r="AE10" s="26">
        <v>0</v>
      </c>
      <c r="AF10" s="26">
        <v>0</v>
      </c>
      <c r="AG10" s="26">
        <v>0</v>
      </c>
      <c r="AH10" s="26">
        <v>0</v>
      </c>
      <c r="AI10" s="26">
        <f>+AJ10-AH10-AG10-AF10</f>
        <v>0</v>
      </c>
      <c r="AJ10" s="145">
        <v>0</v>
      </c>
      <c r="AK10" s="26">
        <v>0</v>
      </c>
      <c r="AL10" s="26">
        <v>0</v>
      </c>
      <c r="AM10" s="26">
        <v>0</v>
      </c>
      <c r="AN10" s="145">
        <v>0</v>
      </c>
      <c r="AO10" s="145">
        <v>0</v>
      </c>
      <c r="AP10" s="145"/>
      <c r="AQ10" s="26">
        <v>0</v>
      </c>
      <c r="AR10" s="145"/>
      <c r="AS10" s="145"/>
      <c r="AT10" s="145"/>
      <c r="AU10" s="145"/>
      <c r="AV10" s="170"/>
    </row>
    <row r="11" spans="1:48" ht="13.5" customHeight="1" x14ac:dyDescent="0.2">
      <c r="A11" s="92" t="s">
        <v>133</v>
      </c>
      <c r="B11" s="74">
        <v>-0.1</v>
      </c>
      <c r="C11" s="74">
        <v>0</v>
      </c>
      <c r="D11" s="74">
        <v>-0.3</v>
      </c>
      <c r="E11" s="74">
        <v>-0.2</v>
      </c>
      <c r="F11" s="99">
        <f t="shared" ref="F11:F13" si="2">SUM(B11:E11)</f>
        <v>-0.60000000000000009</v>
      </c>
      <c r="G11" s="74">
        <v>0</v>
      </c>
      <c r="H11" s="74">
        <v>-0.5</v>
      </c>
      <c r="I11" s="74">
        <v>0.1</v>
      </c>
      <c r="J11" s="74">
        <v>-0.5</v>
      </c>
      <c r="K11" s="74">
        <v>-0.9</v>
      </c>
      <c r="L11" s="74">
        <v>-0.5</v>
      </c>
      <c r="M11" s="74">
        <v>-0.3</v>
      </c>
      <c r="N11" s="74">
        <v>-0.1</v>
      </c>
      <c r="O11" s="74">
        <v>-0.5</v>
      </c>
      <c r="P11" s="74">
        <v>-1.4</v>
      </c>
      <c r="Q11" s="26">
        <v>-0.6</v>
      </c>
      <c r="R11" s="26">
        <v>-0.3</v>
      </c>
      <c r="S11" s="26">
        <v>-0.1</v>
      </c>
      <c r="T11" s="26">
        <v>0.3</v>
      </c>
      <c r="U11" s="26">
        <v>-0.7</v>
      </c>
      <c r="V11" s="26">
        <f>2+4.1</f>
        <v>6.1</v>
      </c>
      <c r="W11" s="26">
        <v>2.1</v>
      </c>
      <c r="X11" s="26">
        <v>4.7</v>
      </c>
      <c r="Y11" s="26">
        <v>2.8</v>
      </c>
      <c r="Z11" s="26">
        <f t="shared" si="0"/>
        <v>15.7</v>
      </c>
      <c r="AA11" s="151">
        <v>0</v>
      </c>
      <c r="AB11" s="151">
        <v>0</v>
      </c>
      <c r="AC11" s="151">
        <v>0</v>
      </c>
      <c r="AD11" s="26">
        <v>-23.7</v>
      </c>
      <c r="AE11" s="26">
        <v>-33.5</v>
      </c>
      <c r="AF11" s="26">
        <v>-9.5</v>
      </c>
      <c r="AG11" s="151">
        <v>0</v>
      </c>
      <c r="AH11" s="151">
        <v>0</v>
      </c>
      <c r="AI11" s="26">
        <f t="shared" si="1"/>
        <v>-0.40000000000000036</v>
      </c>
      <c r="AJ11" s="145">
        <v>-9.9</v>
      </c>
      <c r="AK11" s="145">
        <v>0.3</v>
      </c>
      <c r="AL11" s="145">
        <v>-0.6</v>
      </c>
      <c r="AM11" s="145">
        <v>-0.4</v>
      </c>
      <c r="AN11" s="145">
        <v>-17.5</v>
      </c>
      <c r="AO11" s="145">
        <f t="shared" ref="AO11:AO20" si="3">SUM(AK11:AN11)</f>
        <v>-18.2</v>
      </c>
      <c r="AP11" s="145">
        <v>2.2000000000000002</v>
      </c>
      <c r="AQ11" s="145">
        <v>-4.0999999999999996</v>
      </c>
      <c r="AR11" s="145">
        <v>5.7</v>
      </c>
      <c r="AS11" s="145">
        <v>9.5</v>
      </c>
      <c r="AT11" s="145">
        <v>13.3</v>
      </c>
      <c r="AU11" s="145">
        <v>4.5999999999999996</v>
      </c>
      <c r="AV11" s="170">
        <v>1.9</v>
      </c>
    </row>
    <row r="12" spans="1:48" ht="13.5" customHeight="1" x14ac:dyDescent="0.25">
      <c r="A12" s="92" t="s">
        <v>134</v>
      </c>
      <c r="B12" s="99">
        <v>0</v>
      </c>
      <c r="C12" s="99">
        <v>0</v>
      </c>
      <c r="D12" s="99">
        <v>0</v>
      </c>
      <c r="E12" s="99">
        <v>0</v>
      </c>
      <c r="F12" s="99">
        <f t="shared" si="2"/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-7</v>
      </c>
      <c r="P12" s="26">
        <v>-7</v>
      </c>
      <c r="Q12" s="26">
        <v>-0.1</v>
      </c>
      <c r="R12" s="26">
        <v>0</v>
      </c>
      <c r="S12" s="26">
        <v>0.1</v>
      </c>
      <c r="T12" s="26">
        <v>0</v>
      </c>
      <c r="U12" s="26">
        <v>0</v>
      </c>
      <c r="V12" s="26">
        <v>0</v>
      </c>
      <c r="W12" s="26">
        <v>0</v>
      </c>
      <c r="X12" s="26">
        <v>0</v>
      </c>
      <c r="Y12" s="26">
        <v>0</v>
      </c>
      <c r="Z12" s="26">
        <f t="shared" si="0"/>
        <v>0</v>
      </c>
      <c r="AA12" s="26">
        <v>-0.1</v>
      </c>
      <c r="AB12" s="26">
        <v>0</v>
      </c>
      <c r="AC12" s="26">
        <v>0</v>
      </c>
      <c r="AD12" s="26">
        <v>-1.0999999999999999</v>
      </c>
      <c r="AE12" s="26">
        <v>-1.2</v>
      </c>
      <c r="AF12" s="26">
        <f>0.9-1.8</f>
        <v>-0.9</v>
      </c>
      <c r="AG12" s="26">
        <v>-1.6</v>
      </c>
      <c r="AH12" s="26">
        <v>0</v>
      </c>
      <c r="AI12" s="26">
        <f t="shared" si="1"/>
        <v>0</v>
      </c>
      <c r="AJ12" s="145">
        <v>-2.5</v>
      </c>
      <c r="AK12" s="145">
        <v>-6.4</v>
      </c>
      <c r="AL12" s="145">
        <v>-8.6999999999999993</v>
      </c>
      <c r="AM12" s="145">
        <v>-9.6</v>
      </c>
      <c r="AN12" s="145">
        <v>0</v>
      </c>
      <c r="AO12" s="145">
        <f t="shared" si="3"/>
        <v>-24.7</v>
      </c>
      <c r="AP12" s="145">
        <v>0</v>
      </c>
      <c r="AQ12" s="145">
        <v>0</v>
      </c>
      <c r="AR12" s="145">
        <v>0</v>
      </c>
      <c r="AS12" s="145">
        <f>AT12-SUM(AP12:AR12)</f>
        <v>0</v>
      </c>
      <c r="AT12" s="145">
        <v>0</v>
      </c>
      <c r="AU12" s="145">
        <v>-14.8</v>
      </c>
      <c r="AV12" s="170">
        <v>0</v>
      </c>
    </row>
    <row r="13" spans="1:48" ht="13.5" customHeight="1" x14ac:dyDescent="0.2">
      <c r="A13" s="92" t="s">
        <v>135</v>
      </c>
      <c r="B13" s="74">
        <v>0.1</v>
      </c>
      <c r="C13" s="74">
        <v>0.1</v>
      </c>
      <c r="D13" s="74">
        <v>0.1</v>
      </c>
      <c r="E13" s="74">
        <v>0.1</v>
      </c>
      <c r="F13" s="99">
        <f t="shared" si="2"/>
        <v>0.4</v>
      </c>
      <c r="G13" s="74">
        <v>0.1</v>
      </c>
      <c r="H13" s="74">
        <v>0</v>
      </c>
      <c r="I13" s="74">
        <v>0</v>
      </c>
      <c r="J13" s="74">
        <v>0</v>
      </c>
      <c r="K13" s="74">
        <v>0.1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26">
        <v>0</v>
      </c>
      <c r="R13" s="26">
        <v>0.3</v>
      </c>
      <c r="S13" s="26">
        <v>0.3</v>
      </c>
      <c r="T13" s="26">
        <f>1-0.6</f>
        <v>0.4</v>
      </c>
      <c r="U13" s="26">
        <v>1</v>
      </c>
      <c r="V13" s="26">
        <v>0.2</v>
      </c>
      <c r="W13" s="26">
        <v>0.4</v>
      </c>
      <c r="X13" s="26">
        <v>0.4</v>
      </c>
      <c r="Y13" s="26">
        <v>0.5</v>
      </c>
      <c r="Z13" s="26">
        <f t="shared" si="0"/>
        <v>1.5</v>
      </c>
      <c r="AA13" s="26">
        <f>-0.6+1.2</f>
        <v>0.6</v>
      </c>
      <c r="AB13" s="26">
        <f>1.4-0.1</f>
        <v>1.2999999999999998</v>
      </c>
      <c r="AC13" s="26">
        <v>1.3</v>
      </c>
      <c r="AD13" s="26">
        <v>1.3</v>
      </c>
      <c r="AE13" s="26">
        <v>4.5</v>
      </c>
      <c r="AF13" s="26">
        <v>1.2</v>
      </c>
      <c r="AG13" s="26">
        <v>0.5</v>
      </c>
      <c r="AH13" s="26">
        <v>0.5</v>
      </c>
      <c r="AI13" s="26">
        <f t="shared" si="1"/>
        <v>0.50000000000000022</v>
      </c>
      <c r="AJ13" s="145">
        <v>2.7</v>
      </c>
      <c r="AK13" s="145">
        <v>0.5</v>
      </c>
      <c r="AL13" s="145">
        <v>0.6</v>
      </c>
      <c r="AM13" s="145">
        <v>0.5</v>
      </c>
      <c r="AN13" s="145">
        <v>-0.2</v>
      </c>
      <c r="AO13" s="145">
        <f t="shared" si="3"/>
        <v>1.4000000000000001</v>
      </c>
      <c r="AP13" s="145">
        <v>0.4</v>
      </c>
      <c r="AQ13" s="145">
        <v>0.4</v>
      </c>
      <c r="AR13" s="145">
        <v>0.4</v>
      </c>
      <c r="AS13" s="145">
        <f>AT13-SUM(AP13:AR13)</f>
        <v>0.30000000000000004</v>
      </c>
      <c r="AT13" s="145">
        <v>1.5000000000000002</v>
      </c>
      <c r="AU13" s="145">
        <v>0.1</v>
      </c>
      <c r="AV13" s="170">
        <v>0.3</v>
      </c>
    </row>
    <row r="14" spans="1:48" ht="13.5" customHeight="1" x14ac:dyDescent="0.2">
      <c r="A14" s="100" t="s">
        <v>136</v>
      </c>
      <c r="B14" s="74"/>
      <c r="C14" s="74"/>
      <c r="D14" s="74"/>
      <c r="E14" s="74"/>
      <c r="F14" s="99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145"/>
      <c r="AP14" s="26"/>
      <c r="AQ14" s="26"/>
      <c r="AR14" s="26"/>
      <c r="AS14" s="26"/>
      <c r="AT14" s="26"/>
      <c r="AU14" s="26"/>
      <c r="AV14" s="28"/>
    </row>
    <row r="15" spans="1:48" ht="13.5" customHeight="1" x14ac:dyDescent="0.2">
      <c r="A15" s="92" t="s">
        <v>137</v>
      </c>
      <c r="B15" s="74">
        <v>4.2</v>
      </c>
      <c r="C15" s="74">
        <v>4.3</v>
      </c>
      <c r="D15" s="74">
        <v>4.4000000000000004</v>
      </c>
      <c r="E15" s="74">
        <v>4.4000000000000004</v>
      </c>
      <c r="F15" s="99">
        <f t="shared" ref="F15:F18" si="4">SUM(B15:E15)</f>
        <v>17.3</v>
      </c>
      <c r="G15" s="74">
        <v>4.2</v>
      </c>
      <c r="H15" s="74">
        <v>4.3</v>
      </c>
      <c r="I15" s="26">
        <v>4.3</v>
      </c>
      <c r="J15" s="74">
        <v>4.5</v>
      </c>
      <c r="K15" s="74">
        <v>17.3</v>
      </c>
      <c r="L15" s="74">
        <v>4.5</v>
      </c>
      <c r="M15" s="74">
        <v>4.5999999999999996</v>
      </c>
      <c r="N15" s="74">
        <v>4.7</v>
      </c>
      <c r="O15" s="74">
        <v>4.9000000000000004</v>
      </c>
      <c r="P15" s="74">
        <v>18.7</v>
      </c>
      <c r="Q15" s="26">
        <v>4.9000000000000004</v>
      </c>
      <c r="R15" s="26">
        <v>5</v>
      </c>
      <c r="S15" s="26">
        <v>5.0999999999999996</v>
      </c>
      <c r="T15" s="26">
        <v>5.0999999999999996</v>
      </c>
      <c r="U15" s="26">
        <v>20.100000000000001</v>
      </c>
      <c r="V15" s="26">
        <v>5.3</v>
      </c>
      <c r="W15" s="26">
        <v>5.3</v>
      </c>
      <c r="X15" s="26">
        <v>5.5</v>
      </c>
      <c r="Y15" s="26">
        <v>5.6</v>
      </c>
      <c r="Z15" s="26">
        <f t="shared" ref="Z15:Z23" si="5">SUM(V15:Y15)</f>
        <v>21.700000000000003</v>
      </c>
      <c r="AA15" s="26">
        <v>5.7</v>
      </c>
      <c r="AB15" s="26">
        <v>5.8</v>
      </c>
      <c r="AC15" s="26">
        <v>5.9</v>
      </c>
      <c r="AD15" s="26">
        <v>5.9</v>
      </c>
      <c r="AE15" s="26">
        <v>23.3</v>
      </c>
      <c r="AF15" s="26">
        <v>6.1</v>
      </c>
      <c r="AG15" s="26">
        <v>6.2</v>
      </c>
      <c r="AH15" s="26">
        <v>0</v>
      </c>
      <c r="AI15" s="26">
        <f t="shared" si="1"/>
        <v>0</v>
      </c>
      <c r="AJ15" s="145">
        <v>12.3</v>
      </c>
      <c r="AK15" s="145">
        <v>0</v>
      </c>
      <c r="AL15" s="145">
        <v>0</v>
      </c>
      <c r="AM15" s="145">
        <v>0</v>
      </c>
      <c r="AN15" s="145">
        <v>5</v>
      </c>
      <c r="AO15" s="145">
        <f t="shared" si="3"/>
        <v>5</v>
      </c>
      <c r="AP15" s="145">
        <v>0</v>
      </c>
      <c r="AQ15" s="145">
        <v>0</v>
      </c>
      <c r="AR15" s="145">
        <v>0</v>
      </c>
      <c r="AS15" s="145">
        <f t="shared" ref="AS15:AS20" si="6">AT15-SUM(AP15:AR15)</f>
        <v>0</v>
      </c>
      <c r="AT15" s="145">
        <v>0</v>
      </c>
      <c r="AU15" s="145">
        <v>0</v>
      </c>
      <c r="AV15" s="170">
        <v>0</v>
      </c>
    </row>
    <row r="16" spans="1:48" ht="13.5" customHeight="1" x14ac:dyDescent="0.2">
      <c r="A16" s="92" t="s">
        <v>85</v>
      </c>
      <c r="B16" s="99">
        <v>-1.3</v>
      </c>
      <c r="C16" s="99">
        <f>-3.3+1.3</f>
        <v>-1.9999999999999998</v>
      </c>
      <c r="D16" s="99">
        <f>-5.9+2+1.3</f>
        <v>-2.6000000000000005</v>
      </c>
      <c r="E16" s="99">
        <f>-7.2+2.6+2+1.3</f>
        <v>-1.2999999999999996</v>
      </c>
      <c r="F16" s="99">
        <f t="shared" si="4"/>
        <v>-7.2</v>
      </c>
      <c r="G16" s="26">
        <v>-6.6</v>
      </c>
      <c r="H16" s="26">
        <v>-5.7</v>
      </c>
      <c r="I16" s="74">
        <v>-4.3</v>
      </c>
      <c r="J16" s="26">
        <v>-1.2</v>
      </c>
      <c r="K16" s="26">
        <v>-17.8</v>
      </c>
      <c r="L16" s="26">
        <v>-5.3</v>
      </c>
      <c r="M16" s="26">
        <v>-7.3</v>
      </c>
      <c r="N16" s="26">
        <v>-2.1</v>
      </c>
      <c r="O16" s="26">
        <v>-17.3</v>
      </c>
      <c r="P16" s="26">
        <v>-32</v>
      </c>
      <c r="Q16" s="26">
        <v>7.5</v>
      </c>
      <c r="R16" s="26">
        <v>-0.4</v>
      </c>
      <c r="S16" s="26">
        <v>-6</v>
      </c>
      <c r="T16" s="26">
        <v>0.1</v>
      </c>
      <c r="U16" s="26">
        <v>1.2</v>
      </c>
      <c r="V16" s="26">
        <v>2.5</v>
      </c>
      <c r="W16" s="26">
        <v>-0.3</v>
      </c>
      <c r="X16" s="26">
        <v>-4.3</v>
      </c>
      <c r="Y16" s="26">
        <v>20.9</v>
      </c>
      <c r="Z16" s="26">
        <f t="shared" si="5"/>
        <v>18.799999999999997</v>
      </c>
      <c r="AA16" s="26">
        <v>0</v>
      </c>
      <c r="AB16" s="26">
        <v>2.7</v>
      </c>
      <c r="AC16" s="26">
        <v>0.2</v>
      </c>
      <c r="AD16" s="26">
        <v>5.9</v>
      </c>
      <c r="AE16" s="26">
        <v>8.8000000000000007</v>
      </c>
      <c r="AF16" s="26">
        <v>0.1</v>
      </c>
      <c r="AG16" s="26">
        <v>6.3</v>
      </c>
      <c r="AH16" s="26">
        <f>4.3+8.2</f>
        <v>12.5</v>
      </c>
      <c r="AI16" s="26">
        <v>0</v>
      </c>
      <c r="AJ16" s="145">
        <v>18.899999999999999</v>
      </c>
      <c r="AK16" s="145">
        <v>0</v>
      </c>
      <c r="AL16" s="145">
        <v>2.9</v>
      </c>
      <c r="AM16" s="145">
        <v>0.2</v>
      </c>
      <c r="AN16" s="145">
        <v>-0.1</v>
      </c>
      <c r="AO16" s="145">
        <f t="shared" si="3"/>
        <v>3</v>
      </c>
      <c r="AP16" s="145">
        <v>0</v>
      </c>
      <c r="AQ16" s="145">
        <v>0</v>
      </c>
      <c r="AR16" s="145">
        <v>0.1</v>
      </c>
      <c r="AS16" s="145">
        <f t="shared" si="6"/>
        <v>-0.1</v>
      </c>
      <c r="AT16" s="145">
        <v>0</v>
      </c>
      <c r="AU16" s="145">
        <v>3.7</v>
      </c>
      <c r="AV16" s="170">
        <v>0</v>
      </c>
    </row>
    <row r="17" spans="1:48" ht="13.5" customHeight="1" x14ac:dyDescent="0.2">
      <c r="A17" s="92" t="s">
        <v>138</v>
      </c>
      <c r="B17" s="74">
        <v>67.3</v>
      </c>
      <c r="C17" s="74">
        <f>105.9-67.3</f>
        <v>38.600000000000009</v>
      </c>
      <c r="D17" s="74">
        <f>128.1-38.6-67.3</f>
        <v>22.200000000000003</v>
      </c>
      <c r="E17" s="74">
        <f>-3.1-67.3-38.6-22.2</f>
        <v>-131.19999999999999</v>
      </c>
      <c r="F17" s="99">
        <f t="shared" si="4"/>
        <v>-3.0999999999999659</v>
      </c>
      <c r="G17" s="74">
        <v>303.39999999999998</v>
      </c>
      <c r="H17" s="74">
        <v>-2.6</v>
      </c>
      <c r="I17" s="26">
        <v>6.8</v>
      </c>
      <c r="J17" s="74">
        <v>-75.7</v>
      </c>
      <c r="K17" s="74">
        <v>231.9</v>
      </c>
      <c r="L17" s="74">
        <v>73.7</v>
      </c>
      <c r="M17" s="74">
        <v>-3.7</v>
      </c>
      <c r="N17" s="74">
        <v>28.7</v>
      </c>
      <c r="O17" s="74">
        <v>-60.9</v>
      </c>
      <c r="P17" s="74">
        <v>37.799999999999997</v>
      </c>
      <c r="Q17" s="26">
        <v>-38.799999999999997</v>
      </c>
      <c r="R17" s="26">
        <v>42.6</v>
      </c>
      <c r="S17" s="26">
        <v>7.2</v>
      </c>
      <c r="T17" s="26">
        <v>-58.6</v>
      </c>
      <c r="U17" s="26">
        <v>-47.6</v>
      </c>
      <c r="V17" s="26">
        <v>18.3</v>
      </c>
      <c r="W17" s="26">
        <f>20+2.2</f>
        <v>22.2</v>
      </c>
      <c r="X17" s="26">
        <v>3.1</v>
      </c>
      <c r="Y17" s="26">
        <v>-38.6</v>
      </c>
      <c r="Z17" s="26">
        <f t="shared" si="5"/>
        <v>5</v>
      </c>
      <c r="AA17" s="26">
        <v>-22.3</v>
      </c>
      <c r="AB17" s="26">
        <v>-5.6</v>
      </c>
      <c r="AC17" s="26">
        <v>3.8</v>
      </c>
      <c r="AD17" s="26">
        <v>-69.300000000000011</v>
      </c>
      <c r="AE17" s="26">
        <v>-93.4</v>
      </c>
      <c r="AF17" s="26">
        <v>106.1</v>
      </c>
      <c r="AG17" s="26">
        <v>-1.1000000000000001</v>
      </c>
      <c r="AH17" s="26">
        <v>42.7</v>
      </c>
      <c r="AI17" s="26">
        <f t="shared" si="1"/>
        <v>-83.199999999999989</v>
      </c>
      <c r="AJ17" s="145">
        <v>64.5</v>
      </c>
      <c r="AK17" s="145">
        <v>-11.7</v>
      </c>
      <c r="AL17" s="145">
        <v>36.4</v>
      </c>
      <c r="AM17" s="145">
        <v>-24.2</v>
      </c>
      <c r="AN17" s="145">
        <v>79.400000000000006</v>
      </c>
      <c r="AO17" s="145">
        <f t="shared" si="3"/>
        <v>79.900000000000006</v>
      </c>
      <c r="AP17" s="145">
        <v>4.0999999999999996</v>
      </c>
      <c r="AQ17" s="145">
        <v>3.2</v>
      </c>
      <c r="AR17" s="145">
        <v>-1.1000000000000001</v>
      </c>
      <c r="AS17" s="145">
        <f t="shared" si="6"/>
        <v>14.900000000000002</v>
      </c>
      <c r="AT17" s="145">
        <v>21.1</v>
      </c>
      <c r="AU17" s="145">
        <v>-66.7</v>
      </c>
      <c r="AV17" s="170">
        <v>57.7</v>
      </c>
    </row>
    <row r="18" spans="1:48" ht="13.5" customHeight="1" x14ac:dyDescent="0.2">
      <c r="A18" s="92" t="s">
        <v>139</v>
      </c>
      <c r="B18" s="99">
        <v>-37.4</v>
      </c>
      <c r="C18" s="99">
        <f>-50.3+37.4</f>
        <v>-12.899999999999999</v>
      </c>
      <c r="D18" s="99">
        <f>-71.1+12.9+37.4</f>
        <v>-20.799999999999997</v>
      </c>
      <c r="E18" s="99">
        <f>-34.6+37.4+12.9+20.8</f>
        <v>36.5</v>
      </c>
      <c r="F18" s="99">
        <f t="shared" si="4"/>
        <v>-34.599999999999994</v>
      </c>
      <c r="G18" s="26">
        <v>-19.899999999999999</v>
      </c>
      <c r="H18" s="26">
        <v>1.6</v>
      </c>
      <c r="I18" s="74">
        <v>12.3</v>
      </c>
      <c r="J18" s="26">
        <v>37.6</v>
      </c>
      <c r="K18" s="26">
        <v>31.6</v>
      </c>
      <c r="L18" s="26">
        <v>17.899999999999999</v>
      </c>
      <c r="M18" s="26">
        <v>64.3</v>
      </c>
      <c r="N18" s="26">
        <v>-4.3</v>
      </c>
      <c r="O18" s="26">
        <v>-76.2</v>
      </c>
      <c r="P18" s="26">
        <v>1.7</v>
      </c>
      <c r="Q18" s="26">
        <v>-3.5</v>
      </c>
      <c r="R18" s="26">
        <v>-8</v>
      </c>
      <c r="S18" s="26">
        <v>21.8</v>
      </c>
      <c r="T18" s="26">
        <v>13.8</v>
      </c>
      <c r="U18" s="26">
        <v>24.1</v>
      </c>
      <c r="V18" s="26">
        <v>-29.4</v>
      </c>
      <c r="W18" s="26">
        <v>-10.7</v>
      </c>
      <c r="X18" s="26">
        <v>-6.8</v>
      </c>
      <c r="Y18" s="26">
        <v>20.399999999999999</v>
      </c>
      <c r="Z18" s="26">
        <f t="shared" si="5"/>
        <v>-26.499999999999993</v>
      </c>
      <c r="AA18" s="26">
        <v>-36.799999999999997</v>
      </c>
      <c r="AB18" s="26">
        <v>3</v>
      </c>
      <c r="AC18" s="26">
        <v>12.2</v>
      </c>
      <c r="AD18" s="26">
        <v>40</v>
      </c>
      <c r="AE18" s="26">
        <v>18.399999999999999</v>
      </c>
      <c r="AF18" s="26">
        <v>-39.799999999999997</v>
      </c>
      <c r="AG18" s="26">
        <v>-26</v>
      </c>
      <c r="AH18" s="26">
        <v>11.2</v>
      </c>
      <c r="AI18" s="26">
        <f t="shared" si="1"/>
        <v>46.3</v>
      </c>
      <c r="AJ18" s="145">
        <v>-8.3000000000000007</v>
      </c>
      <c r="AK18" s="145">
        <v>-1.9</v>
      </c>
      <c r="AL18" s="145">
        <v>-23.7</v>
      </c>
      <c r="AM18" s="145">
        <v>-13.7</v>
      </c>
      <c r="AN18" s="145">
        <v>-6.8</v>
      </c>
      <c r="AO18" s="145">
        <f t="shared" si="3"/>
        <v>-46.099999999999994</v>
      </c>
      <c r="AP18" s="145">
        <v>1.4</v>
      </c>
      <c r="AQ18" s="145">
        <v>-24.2</v>
      </c>
      <c r="AR18" s="145">
        <v>4.5</v>
      </c>
      <c r="AS18" s="145">
        <f t="shared" si="6"/>
        <v>-25.400000000000002</v>
      </c>
      <c r="AT18" s="145">
        <v>-43.7</v>
      </c>
      <c r="AU18" s="145">
        <v>11.7</v>
      </c>
      <c r="AV18" s="170">
        <v>-13.8</v>
      </c>
    </row>
    <row r="19" spans="1:48" ht="13.5" customHeight="1" x14ac:dyDescent="0.2">
      <c r="A19" s="92" t="s">
        <v>140</v>
      </c>
      <c r="B19" s="74">
        <f>28.8-B18-B17-B16-B10+0.1</f>
        <v>-10.799999999999994</v>
      </c>
      <c r="C19" s="74">
        <f>31.7-C18-C17-C16-C10</f>
        <v>-2.3000000000000149</v>
      </c>
      <c r="D19" s="74">
        <f>4-D18-D17-D16-D10</f>
        <v>-6.4000000000000048</v>
      </c>
      <c r="E19" s="74">
        <f>-83.6-E18-E17-E16-E10+0.1-0.1</f>
        <v>0.89999999999999325</v>
      </c>
      <c r="F19" s="99">
        <f>SUM(B19:E19)</f>
        <v>-18.600000000000023</v>
      </c>
      <c r="G19" s="74">
        <f>10.6-0.1</f>
        <v>10.5</v>
      </c>
      <c r="H19" s="74">
        <v>-0.7</v>
      </c>
      <c r="I19" s="26">
        <v>2.1</v>
      </c>
      <c r="J19" s="74">
        <v>79.8</v>
      </c>
      <c r="K19" s="74">
        <f>91.8-0.1</f>
        <v>91.7</v>
      </c>
      <c r="L19" s="74">
        <v>-4</v>
      </c>
      <c r="M19" s="74">
        <v>-46.8</v>
      </c>
      <c r="N19" s="74">
        <v>-46.1</v>
      </c>
      <c r="O19" s="74">
        <v>61.2</v>
      </c>
      <c r="P19" s="74">
        <v>-35.700000000000003</v>
      </c>
      <c r="Q19" s="26">
        <f>18.3+14.7</f>
        <v>33</v>
      </c>
      <c r="R19" s="26">
        <f>-65.8+14.5-0.3+23.2</f>
        <v>-28.399999999999995</v>
      </c>
      <c r="S19" s="26">
        <f>-5-14.5-0.3+15.8</f>
        <v>-4</v>
      </c>
      <c r="T19" s="26">
        <f>106.4+0.6+17.9</f>
        <v>124.9</v>
      </c>
      <c r="U19" s="26">
        <f>53.9+71.6</f>
        <v>125.5</v>
      </c>
      <c r="V19" s="26">
        <f>33.3-0.9-12.2</f>
        <v>20.2</v>
      </c>
      <c r="W19" s="26">
        <f>-4.6+3.6+9</f>
        <v>8</v>
      </c>
      <c r="X19" s="26">
        <f>-1.6+6.9</f>
        <v>5.3000000000000007</v>
      </c>
      <c r="Y19" s="26">
        <f>0.3-1.7</f>
        <v>-1.4</v>
      </c>
      <c r="Z19" s="26">
        <f>SUM(V19:Y19)</f>
        <v>32.1</v>
      </c>
      <c r="AA19" s="26">
        <v>-0.5</v>
      </c>
      <c r="AB19" s="26">
        <v>0.3</v>
      </c>
      <c r="AC19" s="26">
        <v>-12.7</v>
      </c>
      <c r="AD19" s="26">
        <v>46.5</v>
      </c>
      <c r="AE19" s="26">
        <v>33.6</v>
      </c>
      <c r="AF19" s="26">
        <v>-26</v>
      </c>
      <c r="AG19" s="26">
        <v>17.899999999999999</v>
      </c>
      <c r="AH19" s="26">
        <v>-25.6</v>
      </c>
      <c r="AI19" s="26">
        <f t="shared" si="1"/>
        <v>5.4000000000000021</v>
      </c>
      <c r="AJ19" s="145">
        <v>-28.3</v>
      </c>
      <c r="AK19" s="145">
        <v>-19.7</v>
      </c>
      <c r="AL19" s="145">
        <v>-7.8</v>
      </c>
      <c r="AM19" s="145">
        <v>24.1</v>
      </c>
      <c r="AN19" s="145">
        <v>-31.6</v>
      </c>
      <c r="AO19" s="145">
        <f t="shared" si="3"/>
        <v>-35</v>
      </c>
      <c r="AP19" s="145">
        <v>-4.5999999999999996</v>
      </c>
      <c r="AQ19" s="145">
        <v>-3.9</v>
      </c>
      <c r="AR19" s="145">
        <f>5.8+2.9</f>
        <v>8.6999999999999993</v>
      </c>
      <c r="AS19" s="145">
        <f t="shared" si="6"/>
        <v>9.5</v>
      </c>
      <c r="AT19" s="145">
        <v>9.6999999999999993</v>
      </c>
      <c r="AU19" s="145">
        <v>10.5</v>
      </c>
      <c r="AV19" s="170">
        <v>-26.2</v>
      </c>
    </row>
    <row r="20" spans="1:48" ht="13.5" customHeight="1" x14ac:dyDescent="0.2">
      <c r="A20" s="108" t="s">
        <v>141</v>
      </c>
      <c r="B20" s="109"/>
      <c r="C20" s="109"/>
      <c r="D20" s="109"/>
      <c r="E20" s="109"/>
      <c r="F20" s="110"/>
      <c r="G20" s="109"/>
      <c r="H20" s="109"/>
      <c r="I20" s="111"/>
      <c r="J20" s="109"/>
      <c r="K20" s="109"/>
      <c r="L20" s="109"/>
      <c r="M20" s="109"/>
      <c r="N20" s="109"/>
      <c r="O20" s="109"/>
      <c r="P20" s="109"/>
      <c r="Q20" s="111">
        <v>-14.7</v>
      </c>
      <c r="R20" s="111">
        <v>-23.2</v>
      </c>
      <c r="S20" s="111">
        <v>-15.8</v>
      </c>
      <c r="T20" s="111">
        <v>-17.899999999999999</v>
      </c>
      <c r="U20" s="111">
        <v>-71.599999999999994</v>
      </c>
      <c r="V20" s="111">
        <v>12.2</v>
      </c>
      <c r="W20" s="111">
        <v>-9</v>
      </c>
      <c r="X20" s="111">
        <v>-6.9</v>
      </c>
      <c r="Y20" s="111">
        <v>1.7</v>
      </c>
      <c r="Z20" s="111">
        <v>-2</v>
      </c>
      <c r="AA20" s="111">
        <v>17.8</v>
      </c>
      <c r="AB20" s="111">
        <v>41.5</v>
      </c>
      <c r="AC20" s="111">
        <f>39.8+19.2</f>
        <v>59</v>
      </c>
      <c r="AD20" s="111">
        <v>20.799999999999997</v>
      </c>
      <c r="AE20" s="111">
        <v>139.1</v>
      </c>
      <c r="AF20" s="111">
        <v>27.4</v>
      </c>
      <c r="AG20" s="111">
        <v>68.7</v>
      </c>
      <c r="AH20" s="111">
        <v>81.599999999999994</v>
      </c>
      <c r="AI20" s="111">
        <f t="shared" si="1"/>
        <v>101.49999999999997</v>
      </c>
      <c r="AJ20" s="111">
        <v>279.2</v>
      </c>
      <c r="AK20" s="111">
        <v>75.7</v>
      </c>
      <c r="AL20" s="152">
        <v>29.7</v>
      </c>
      <c r="AM20" s="152">
        <v>58.7</v>
      </c>
      <c r="AN20" s="111">
        <v>101</v>
      </c>
      <c r="AO20" s="161">
        <f t="shared" si="3"/>
        <v>265.10000000000002</v>
      </c>
      <c r="AP20" s="111">
        <v>11.9</v>
      </c>
      <c r="AQ20" s="152">
        <v>59.2</v>
      </c>
      <c r="AR20" s="111">
        <v>-2.2000000000000002</v>
      </c>
      <c r="AS20" s="161">
        <f t="shared" si="6"/>
        <v>-4</v>
      </c>
      <c r="AT20" s="161">
        <v>64.900000000000006</v>
      </c>
      <c r="AU20" s="161">
        <v>3.2</v>
      </c>
      <c r="AV20" s="182">
        <v>28.3</v>
      </c>
    </row>
    <row r="21" spans="1:48" ht="13.5" customHeight="1" x14ac:dyDescent="0.2">
      <c r="A21" s="92" t="s">
        <v>142</v>
      </c>
      <c r="B21" s="101"/>
      <c r="C21" s="101"/>
      <c r="D21" s="101"/>
      <c r="E21" s="101"/>
      <c r="F21" s="99"/>
      <c r="G21" s="101"/>
      <c r="H21" s="101"/>
      <c r="I21" s="26"/>
      <c r="J21" s="101"/>
      <c r="K21" s="101"/>
      <c r="L21" s="101"/>
      <c r="M21" s="101"/>
      <c r="N21" s="101"/>
      <c r="O21" s="101"/>
      <c r="P21" s="101"/>
      <c r="Q21" s="26">
        <f t="shared" ref="Q21:AC21" si="7">SUM(Q3:Q20)</f>
        <v>173.3</v>
      </c>
      <c r="R21" s="26">
        <f t="shared" si="7"/>
        <v>175.6</v>
      </c>
      <c r="S21" s="26">
        <f t="shared" si="7"/>
        <v>169.59999999999997</v>
      </c>
      <c r="T21" s="26">
        <f t="shared" si="7"/>
        <v>152.79999999999998</v>
      </c>
      <c r="U21" s="26">
        <f t="shared" si="7"/>
        <v>671.3</v>
      </c>
      <c r="V21" s="26">
        <f t="shared" si="7"/>
        <v>117.60000000000002</v>
      </c>
      <c r="W21" s="26">
        <f t="shared" si="7"/>
        <v>128.9</v>
      </c>
      <c r="X21" s="26">
        <f t="shared" si="7"/>
        <v>90.7</v>
      </c>
      <c r="Y21" s="26">
        <f t="shared" si="7"/>
        <v>96.59999999999998</v>
      </c>
      <c r="Z21" s="26">
        <f t="shared" si="7"/>
        <v>433.80000000000007</v>
      </c>
      <c r="AA21" s="26">
        <f t="shared" si="7"/>
        <v>83.8</v>
      </c>
      <c r="AB21" s="26">
        <f t="shared" si="7"/>
        <v>147</v>
      </c>
      <c r="AC21" s="26">
        <f t="shared" si="7"/>
        <v>161.60000000000002</v>
      </c>
      <c r="AD21" s="26">
        <f t="shared" ref="AD21:AE21" si="8">SUM(AD3:AD20)</f>
        <v>152.5</v>
      </c>
      <c r="AE21" s="26">
        <f t="shared" si="8"/>
        <v>535.1</v>
      </c>
      <c r="AF21" s="26">
        <f t="shared" ref="AF21" si="9">SUM(AF3:AF20)</f>
        <v>158.70000000000002</v>
      </c>
      <c r="AG21" s="26">
        <f t="shared" ref="AG21:AL21" si="10">SUM(AG3:AG20)</f>
        <v>144.30000000000001</v>
      </c>
      <c r="AH21" s="26">
        <f t="shared" si="10"/>
        <v>206.39999999999998</v>
      </c>
      <c r="AI21" s="26">
        <f t="shared" si="10"/>
        <v>174.89999999999995</v>
      </c>
      <c r="AJ21" s="26">
        <f t="shared" si="10"/>
        <v>684.3</v>
      </c>
      <c r="AK21" s="26">
        <f t="shared" si="10"/>
        <v>132.69999999999999</v>
      </c>
      <c r="AL21" s="27">
        <f t="shared" si="10"/>
        <v>89.2</v>
      </c>
      <c r="AM21" s="27">
        <f t="shared" ref="AM21:AN21" si="11">SUM(AM3:AM20)</f>
        <v>117.89999999999998</v>
      </c>
      <c r="AN21" s="26">
        <f t="shared" si="11"/>
        <v>233.7</v>
      </c>
      <c r="AO21" s="26">
        <f t="shared" ref="AO21:AQ21" si="12">SUM(AO3:AO20)</f>
        <v>573.50000000000011</v>
      </c>
      <c r="AP21" s="26">
        <f t="shared" si="12"/>
        <v>99.400000000000034</v>
      </c>
      <c r="AQ21" s="27">
        <f t="shared" si="12"/>
        <v>110.9</v>
      </c>
      <c r="AR21" s="26">
        <f t="shared" ref="AR21" si="13">SUM(AR3:AR20)</f>
        <v>89.800000000000011</v>
      </c>
      <c r="AS21" s="26">
        <f t="shared" ref="AS21" si="14">SUM(AS3:AS20)</f>
        <v>81.100000000000009</v>
      </c>
      <c r="AT21" s="26">
        <v>381.1</v>
      </c>
      <c r="AU21" s="26">
        <f>SUM(AU3:AU20)</f>
        <v>63.100000000000009</v>
      </c>
      <c r="AV21" s="28">
        <f>SUM(AV3:AV20)</f>
        <v>104.60000000000001</v>
      </c>
    </row>
    <row r="22" spans="1:48" ht="13.5" customHeight="1" x14ac:dyDescent="0.2">
      <c r="A22" s="92" t="s">
        <v>143</v>
      </c>
      <c r="B22" s="99">
        <v>-9.4</v>
      </c>
      <c r="C22" s="99">
        <v>-10</v>
      </c>
      <c r="D22" s="99">
        <v>-5.3</v>
      </c>
      <c r="E22" s="99">
        <f>-6.5+0.1</f>
        <v>-6.4</v>
      </c>
      <c r="F22" s="99">
        <f>SUM(B22:E22)</f>
        <v>-31.1</v>
      </c>
      <c r="G22" s="26">
        <v>-6.3</v>
      </c>
      <c r="H22" s="26">
        <v>-8.1</v>
      </c>
      <c r="I22" s="74">
        <v>-6.4</v>
      </c>
      <c r="J22" s="26">
        <v>-7.2</v>
      </c>
      <c r="K22" s="26">
        <v>-28</v>
      </c>
      <c r="L22" s="26">
        <v>-6.5</v>
      </c>
      <c r="M22" s="26">
        <v>-9.3000000000000007</v>
      </c>
      <c r="N22" s="26">
        <v>-7.4</v>
      </c>
      <c r="O22" s="26">
        <v>-16.2</v>
      </c>
      <c r="P22" s="26">
        <v>-39.400000000000006</v>
      </c>
      <c r="Q22" s="26">
        <v>-12.9</v>
      </c>
      <c r="R22" s="26">
        <v>-19.2</v>
      </c>
      <c r="S22" s="26">
        <v>-17.7</v>
      </c>
      <c r="T22" s="26">
        <v>-13.2</v>
      </c>
      <c r="U22" s="26">
        <v>-63</v>
      </c>
      <c r="V22" s="26">
        <v>-11.3</v>
      </c>
      <c r="W22" s="26">
        <v>-8.5</v>
      </c>
      <c r="X22" s="26">
        <v>-8.6999999999999993</v>
      </c>
      <c r="Y22" s="26">
        <v>-6.4</v>
      </c>
      <c r="Z22" s="26">
        <f t="shared" si="5"/>
        <v>-34.9</v>
      </c>
      <c r="AA22" s="26">
        <v>-4.3</v>
      </c>
      <c r="AB22" s="26">
        <v>-8</v>
      </c>
      <c r="AC22" s="26">
        <v>-8.1999999999999993</v>
      </c>
      <c r="AD22" s="26">
        <v>-4.3999999999999986</v>
      </c>
      <c r="AE22" s="26">
        <v>-24.9</v>
      </c>
      <c r="AF22" s="26">
        <v>-10.8</v>
      </c>
      <c r="AG22" s="26">
        <v>-13.3</v>
      </c>
      <c r="AH22" s="26">
        <v>-7.3</v>
      </c>
      <c r="AI22" s="145">
        <f t="shared" si="1"/>
        <v>-2.5999999999999979</v>
      </c>
      <c r="AJ22" s="145">
        <v>-34</v>
      </c>
      <c r="AK22" s="145">
        <v>-4.5999999999999996</v>
      </c>
      <c r="AL22" s="153">
        <v>-4.9000000000000004</v>
      </c>
      <c r="AM22" s="153">
        <v>-1.6</v>
      </c>
      <c r="AN22" s="145">
        <v>-3.7</v>
      </c>
      <c r="AO22" s="145">
        <f>SUM(AK22:AN22)</f>
        <v>-14.8</v>
      </c>
      <c r="AP22" s="145">
        <v>-8.3000000000000007</v>
      </c>
      <c r="AQ22" s="153">
        <v>-3.9</v>
      </c>
      <c r="AR22" s="145">
        <v>-4.3</v>
      </c>
      <c r="AS22" s="145">
        <f>AT22-SUM(AP22:AR22)</f>
        <v>-1.6999999999999993</v>
      </c>
      <c r="AT22" s="145">
        <v>-18.2</v>
      </c>
      <c r="AU22" s="145">
        <v>-6.6</v>
      </c>
      <c r="AV22" s="170">
        <v>-1.6</v>
      </c>
    </row>
    <row r="23" spans="1:48" ht="13.5" hidden="1" customHeight="1" x14ac:dyDescent="0.2">
      <c r="A23" s="92" t="s">
        <v>144</v>
      </c>
      <c r="B23" s="74">
        <v>0</v>
      </c>
      <c r="C23" s="74">
        <v>0</v>
      </c>
      <c r="D23" s="74">
        <v>0</v>
      </c>
      <c r="E23" s="74">
        <v>0</v>
      </c>
      <c r="F23" s="99">
        <f>SUM(B23:E23)</f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f>-40.1+2.4+26.1</f>
        <v>-11.600000000000001</v>
      </c>
      <c r="W23" s="26">
        <v>0</v>
      </c>
      <c r="X23" s="26">
        <v>0</v>
      </c>
      <c r="Y23" s="26">
        <v>0</v>
      </c>
      <c r="Z23" s="26">
        <f t="shared" si="5"/>
        <v>-11.600000000000001</v>
      </c>
      <c r="AA23" s="26">
        <v>0</v>
      </c>
      <c r="AB23" s="26">
        <v>0</v>
      </c>
      <c r="AC23" s="26">
        <v>0</v>
      </c>
      <c r="AD23" s="26">
        <v>0</v>
      </c>
      <c r="AE23" s="26">
        <v>0</v>
      </c>
      <c r="AF23" s="26">
        <v>0</v>
      </c>
      <c r="AG23" s="26">
        <v>0</v>
      </c>
      <c r="AH23" s="26"/>
      <c r="AI23" s="26"/>
      <c r="AJ23" s="26">
        <v>0</v>
      </c>
      <c r="AK23" s="26">
        <v>0</v>
      </c>
      <c r="AL23" s="27">
        <v>0</v>
      </c>
      <c r="AM23" s="27">
        <v>0</v>
      </c>
      <c r="AN23" s="26">
        <v>0</v>
      </c>
      <c r="AO23" s="26">
        <v>0</v>
      </c>
      <c r="AP23" s="26">
        <v>0</v>
      </c>
      <c r="AQ23" s="27">
        <v>0</v>
      </c>
      <c r="AR23" s="26">
        <v>0</v>
      </c>
      <c r="AS23" s="26">
        <v>0</v>
      </c>
      <c r="AT23" s="26">
        <v>0</v>
      </c>
      <c r="AU23" s="26">
        <v>0</v>
      </c>
      <c r="AV23" s="28">
        <v>0</v>
      </c>
    </row>
    <row r="24" spans="1:48" ht="13.5" customHeight="1" x14ac:dyDescent="0.25">
      <c r="A24" s="102" t="s">
        <v>145</v>
      </c>
      <c r="B24" s="87">
        <f t="shared" ref="B24:P24" si="15">SUM(B3:B23)</f>
        <v>111.49999999999999</v>
      </c>
      <c r="C24" s="87">
        <f t="shared" si="15"/>
        <v>97.199999999999989</v>
      </c>
      <c r="D24" s="87">
        <f t="shared" si="15"/>
        <v>67.400000000000006</v>
      </c>
      <c r="E24" s="87">
        <f t="shared" si="15"/>
        <v>67.3</v>
      </c>
      <c r="F24" s="87">
        <f t="shared" si="15"/>
        <v>343.4</v>
      </c>
      <c r="G24" s="56">
        <f t="shared" si="15"/>
        <v>403.9</v>
      </c>
      <c r="H24" s="56">
        <f t="shared" si="15"/>
        <v>106.3</v>
      </c>
      <c r="I24" s="56">
        <f t="shared" si="15"/>
        <v>96.299999999999969</v>
      </c>
      <c r="J24" s="56">
        <f t="shared" si="15"/>
        <v>110.3</v>
      </c>
      <c r="K24" s="56">
        <f t="shared" si="15"/>
        <v>659.50000000000011</v>
      </c>
      <c r="L24" s="56">
        <f t="shared" si="15"/>
        <v>187.5</v>
      </c>
      <c r="M24" s="56">
        <f t="shared" si="15"/>
        <v>106.29999999999998</v>
      </c>
      <c r="N24" s="56">
        <f t="shared" si="15"/>
        <v>98.899999999999977</v>
      </c>
      <c r="O24" s="56">
        <f t="shared" si="15"/>
        <v>43.199999999999974</v>
      </c>
      <c r="P24" s="56">
        <f t="shared" si="15"/>
        <v>435.9</v>
      </c>
      <c r="Q24" s="56">
        <f>SUM(Q21:Q23)</f>
        <v>160.4</v>
      </c>
      <c r="R24" s="56">
        <f t="shared" ref="R24:AB24" si="16">SUM(R21:R23)</f>
        <v>156.4</v>
      </c>
      <c r="S24" s="56">
        <f t="shared" si="16"/>
        <v>151.89999999999998</v>
      </c>
      <c r="T24" s="56">
        <f t="shared" si="16"/>
        <v>139.6</v>
      </c>
      <c r="U24" s="56">
        <f t="shared" si="16"/>
        <v>608.29999999999995</v>
      </c>
      <c r="V24" s="56">
        <f t="shared" si="16"/>
        <v>94.700000000000017</v>
      </c>
      <c r="W24" s="56">
        <f t="shared" si="16"/>
        <v>120.4</v>
      </c>
      <c r="X24" s="56">
        <f t="shared" si="16"/>
        <v>82</v>
      </c>
      <c r="Y24" s="56">
        <f t="shared" si="16"/>
        <v>90.199999999999974</v>
      </c>
      <c r="Z24" s="56">
        <f t="shared" si="16"/>
        <v>387.30000000000007</v>
      </c>
      <c r="AA24" s="56">
        <f t="shared" si="16"/>
        <v>79.5</v>
      </c>
      <c r="AB24" s="56">
        <f t="shared" si="16"/>
        <v>139</v>
      </c>
      <c r="AC24" s="56">
        <f t="shared" ref="AC24:AD24" si="17">+AC23+AC22+AC21</f>
        <v>153.40000000000003</v>
      </c>
      <c r="AD24" s="56">
        <f t="shared" si="17"/>
        <v>148.1</v>
      </c>
      <c r="AE24" s="56">
        <f t="shared" ref="AE24:AF24" si="18">+AE23+AE22+AE21</f>
        <v>510.20000000000005</v>
      </c>
      <c r="AF24" s="136">
        <f t="shared" si="18"/>
        <v>147.9</v>
      </c>
      <c r="AG24" s="136">
        <f t="shared" ref="AG24:AJ24" si="19">+AG23+AG22+AG21</f>
        <v>131</v>
      </c>
      <c r="AH24" s="136">
        <f t="shared" si="19"/>
        <v>199.09999999999997</v>
      </c>
      <c r="AI24" s="136">
        <f t="shared" si="19"/>
        <v>172.29999999999995</v>
      </c>
      <c r="AJ24" s="136">
        <f t="shared" si="19"/>
        <v>650.29999999999995</v>
      </c>
      <c r="AK24" s="136">
        <f t="shared" ref="AK24:AL24" si="20">+AK23+AK22+AK21</f>
        <v>128.1</v>
      </c>
      <c r="AL24" s="154">
        <f t="shared" si="20"/>
        <v>84.3</v>
      </c>
      <c r="AM24" s="154">
        <f t="shared" ref="AM24:AN24" si="21">+AM23+AM22+AM21</f>
        <v>116.29999999999998</v>
      </c>
      <c r="AN24" s="136">
        <f t="shared" si="21"/>
        <v>230</v>
      </c>
      <c r="AO24" s="136">
        <f t="shared" ref="AO24:AQ24" si="22">+AO23+AO22+AO21</f>
        <v>558.70000000000016</v>
      </c>
      <c r="AP24" s="136">
        <f t="shared" si="22"/>
        <v>91.100000000000037</v>
      </c>
      <c r="AQ24" s="154">
        <f t="shared" si="22"/>
        <v>107</v>
      </c>
      <c r="AR24" s="136">
        <f t="shared" ref="AR24" si="23">+AR23+AR22+AR21</f>
        <v>85.500000000000014</v>
      </c>
      <c r="AS24" s="136">
        <f>+AS23+AS22+AS21</f>
        <v>79.400000000000006</v>
      </c>
      <c r="AT24" s="136">
        <v>362.90000000000003</v>
      </c>
      <c r="AU24" s="136">
        <f>AU21+AU22</f>
        <v>56.500000000000007</v>
      </c>
      <c r="AV24" s="171">
        <f>AV21+AV22</f>
        <v>103.00000000000001</v>
      </c>
    </row>
    <row r="25" spans="1:48" ht="13.5" customHeight="1" x14ac:dyDescent="0.25">
      <c r="A25" s="103"/>
      <c r="B25" s="88"/>
      <c r="C25" s="88"/>
      <c r="D25" s="88"/>
      <c r="E25" s="88"/>
      <c r="F25" s="88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137"/>
      <c r="AG25" s="137"/>
      <c r="AH25" s="137"/>
      <c r="AI25" s="137"/>
      <c r="AJ25" s="137"/>
      <c r="AK25" s="137"/>
      <c r="AL25" s="155"/>
      <c r="AM25" s="155"/>
      <c r="AN25" s="137"/>
      <c r="AO25" s="137"/>
      <c r="AP25" s="137"/>
      <c r="AQ25" s="155"/>
      <c r="AR25" s="137"/>
      <c r="AS25" s="137"/>
      <c r="AT25" s="137"/>
      <c r="AU25" s="137"/>
      <c r="AV25" s="172"/>
    </row>
    <row r="26" spans="1:48" ht="13.5" customHeight="1" x14ac:dyDescent="0.2">
      <c r="A26" s="92" t="s">
        <v>146</v>
      </c>
      <c r="B26" s="74">
        <v>0.5</v>
      </c>
      <c r="C26" s="74">
        <v>0.5</v>
      </c>
      <c r="D26" s="74">
        <v>0.4</v>
      </c>
      <c r="E26" s="74">
        <v>0.3</v>
      </c>
      <c r="F26" s="99">
        <f t="shared" ref="F26:F35" si="24">SUM(B26:E26)</f>
        <v>1.7</v>
      </c>
      <c r="G26" s="74">
        <v>0.2</v>
      </c>
      <c r="H26" s="74">
        <v>0.8</v>
      </c>
      <c r="I26" s="74">
        <v>0.3</v>
      </c>
      <c r="J26" s="74">
        <v>0.5</v>
      </c>
      <c r="K26" s="74">
        <v>1.8</v>
      </c>
      <c r="L26" s="74">
        <v>0.5</v>
      </c>
      <c r="M26" s="74">
        <v>0.6</v>
      </c>
      <c r="N26" s="74">
        <v>0.6</v>
      </c>
      <c r="O26" s="74">
        <v>0.7</v>
      </c>
      <c r="P26" s="74">
        <v>2.4000000000000004</v>
      </c>
      <c r="Q26" s="26">
        <v>0.8</v>
      </c>
      <c r="R26" s="26">
        <v>1</v>
      </c>
      <c r="S26" s="26">
        <v>1.2</v>
      </c>
      <c r="T26" s="26">
        <v>1.2</v>
      </c>
      <c r="U26" s="26">
        <v>4.2</v>
      </c>
      <c r="V26" s="26">
        <v>0.3</v>
      </c>
      <c r="W26" s="26">
        <v>0.2</v>
      </c>
      <c r="X26" s="26">
        <v>0.1</v>
      </c>
      <c r="Y26" s="26">
        <v>-0.1</v>
      </c>
      <c r="Z26" s="26">
        <f t="shared" ref="Z26:Z35" si="25">SUM(V26:Y26)</f>
        <v>0.5</v>
      </c>
      <c r="AA26" s="26">
        <f>0.1-0.1</f>
        <v>0</v>
      </c>
      <c r="AB26" s="26">
        <v>0.1</v>
      </c>
      <c r="AC26" s="26">
        <v>0.1</v>
      </c>
      <c r="AD26" s="26">
        <v>9.9999999999999978E-2</v>
      </c>
      <c r="AE26" s="26">
        <v>0.3</v>
      </c>
      <c r="AF26" s="26">
        <v>9.9999999999999978E-2</v>
      </c>
      <c r="AG26" s="26">
        <v>0.2</v>
      </c>
      <c r="AH26" s="26">
        <v>0.8</v>
      </c>
      <c r="AI26" s="145">
        <f t="shared" ref="AI26:AI35" si="26">+AJ26-AH26-AG26-AF26</f>
        <v>0.79999999999999993</v>
      </c>
      <c r="AJ26" s="145">
        <v>1.9</v>
      </c>
      <c r="AK26" s="145">
        <v>1.1000000000000001</v>
      </c>
      <c r="AL26" s="153">
        <v>2.9</v>
      </c>
      <c r="AM26" s="153">
        <v>1.9</v>
      </c>
      <c r="AN26" s="145">
        <v>4.0999999999999996</v>
      </c>
      <c r="AO26" s="145">
        <f>SUM(AK26:AN26)</f>
        <v>10</v>
      </c>
      <c r="AP26" s="145">
        <v>2.9</v>
      </c>
      <c r="AQ26" s="153">
        <v>7.2</v>
      </c>
      <c r="AR26" s="145">
        <v>4.4000000000000004</v>
      </c>
      <c r="AS26" s="145">
        <f>AT26-SUM(AP26:AR26)</f>
        <v>4.6999999999999993</v>
      </c>
      <c r="AT26" s="145">
        <v>19.2</v>
      </c>
      <c r="AU26" s="145">
        <v>6.3</v>
      </c>
      <c r="AV26" s="170">
        <v>5.2</v>
      </c>
    </row>
    <row r="27" spans="1:48" ht="13.5" hidden="1" customHeight="1" x14ac:dyDescent="0.25">
      <c r="A27" s="92" t="s">
        <v>147</v>
      </c>
      <c r="B27" s="99">
        <v>0</v>
      </c>
      <c r="C27" s="99">
        <v>0</v>
      </c>
      <c r="D27" s="99">
        <v>0</v>
      </c>
      <c r="E27" s="99">
        <v>0</v>
      </c>
      <c r="F27" s="99">
        <f t="shared" si="24"/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0.1</v>
      </c>
      <c r="U27" s="26">
        <v>0.1</v>
      </c>
      <c r="V27" s="26">
        <v>0</v>
      </c>
      <c r="W27" s="26">
        <v>0</v>
      </c>
      <c r="X27" s="26">
        <v>0</v>
      </c>
      <c r="Y27" s="26">
        <v>0.2</v>
      </c>
      <c r="Z27" s="26">
        <f t="shared" si="25"/>
        <v>0.2</v>
      </c>
      <c r="AA27" s="26">
        <v>0</v>
      </c>
      <c r="AB27" s="26">
        <v>0</v>
      </c>
      <c r="AC27" s="26">
        <v>0</v>
      </c>
      <c r="AD27" s="26">
        <v>0</v>
      </c>
      <c r="AE27" s="26">
        <v>0</v>
      </c>
      <c r="AF27" s="26">
        <v>0</v>
      </c>
      <c r="AG27" s="26">
        <v>0</v>
      </c>
      <c r="AH27" s="26">
        <v>0</v>
      </c>
      <c r="AI27" s="26">
        <f t="shared" si="26"/>
        <v>0</v>
      </c>
      <c r="AJ27" s="26">
        <v>0</v>
      </c>
      <c r="AK27" s="26">
        <v>0</v>
      </c>
      <c r="AL27" s="27">
        <v>0</v>
      </c>
      <c r="AM27" s="27">
        <v>0</v>
      </c>
      <c r="AN27" s="26">
        <v>0</v>
      </c>
      <c r="AO27" s="26">
        <v>0</v>
      </c>
      <c r="AP27" s="26"/>
      <c r="AQ27" s="27">
        <v>0</v>
      </c>
      <c r="AR27" s="26"/>
      <c r="AS27" s="26"/>
      <c r="AT27" s="26"/>
      <c r="AU27" s="26"/>
      <c r="AV27" s="28"/>
    </row>
    <row r="28" spans="1:48" ht="13.5" customHeight="1" x14ac:dyDescent="0.25">
      <c r="A28" s="92" t="s">
        <v>148</v>
      </c>
      <c r="B28" s="99">
        <v>0</v>
      </c>
      <c r="C28" s="99">
        <v>0</v>
      </c>
      <c r="D28" s="99">
        <v>0</v>
      </c>
      <c r="E28" s="99">
        <v>0</v>
      </c>
      <c r="F28" s="99">
        <f t="shared" si="24"/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28.6</v>
      </c>
      <c r="S28" s="26">
        <v>0</v>
      </c>
      <c r="T28" s="26">
        <v>15.9</v>
      </c>
      <c r="U28" s="26">
        <v>44.5</v>
      </c>
      <c r="V28" s="26">
        <v>0</v>
      </c>
      <c r="W28" s="26">
        <v>0</v>
      </c>
      <c r="X28" s="26">
        <v>0</v>
      </c>
      <c r="Y28" s="26">
        <v>0</v>
      </c>
      <c r="Z28" s="26">
        <f t="shared" si="25"/>
        <v>0</v>
      </c>
      <c r="AA28" s="26">
        <v>0.1</v>
      </c>
      <c r="AB28" s="26">
        <v>16</v>
      </c>
      <c r="AC28" s="26">
        <v>0</v>
      </c>
      <c r="AD28" s="26">
        <v>1.5</v>
      </c>
      <c r="AE28" s="26">
        <v>17.600000000000001</v>
      </c>
      <c r="AF28" s="26">
        <v>27</v>
      </c>
      <c r="AG28" s="26">
        <v>0.4</v>
      </c>
      <c r="AH28" s="26">
        <v>0</v>
      </c>
      <c r="AI28" s="145">
        <f t="shared" si="26"/>
        <v>0</v>
      </c>
      <c r="AJ28" s="145">
        <v>27.4</v>
      </c>
      <c r="AK28" s="145">
        <v>125</v>
      </c>
      <c r="AL28" s="153">
        <v>30.9</v>
      </c>
      <c r="AM28" s="153">
        <v>20.6</v>
      </c>
      <c r="AN28" s="145">
        <v>24.1</v>
      </c>
      <c r="AO28" s="145">
        <f>SUM(AK28:AN28)</f>
        <v>200.6</v>
      </c>
      <c r="AP28" s="145">
        <v>2</v>
      </c>
      <c r="AQ28" s="153">
        <v>27.9</v>
      </c>
      <c r="AR28" s="145">
        <v>0</v>
      </c>
      <c r="AS28" s="145">
        <f>AT28-SUM(AP28:AR28)</f>
        <v>0</v>
      </c>
      <c r="AT28" s="145">
        <v>29.9</v>
      </c>
      <c r="AU28" s="145">
        <v>100</v>
      </c>
      <c r="AV28" s="170">
        <v>24.3</v>
      </c>
    </row>
    <row r="29" spans="1:48" ht="13.5" customHeight="1" x14ac:dyDescent="0.25">
      <c r="A29" s="92" t="s">
        <v>149</v>
      </c>
      <c r="B29" s="99"/>
      <c r="C29" s="99"/>
      <c r="D29" s="99"/>
      <c r="E29" s="99"/>
      <c r="F29" s="99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>
        <v>0</v>
      </c>
      <c r="W29" s="26">
        <v>0</v>
      </c>
      <c r="X29" s="26">
        <v>0</v>
      </c>
      <c r="Y29" s="26">
        <v>0</v>
      </c>
      <c r="Z29" s="26">
        <f t="shared" ref="Z29" si="27">SUM(V29:Y29)</f>
        <v>0</v>
      </c>
      <c r="AA29" s="26">
        <f t="shared" ref="AA29" si="28">SUM(W29:Z29)</f>
        <v>0</v>
      </c>
      <c r="AB29" s="26">
        <f t="shared" ref="AB29" si="29">SUM(X29:AA29)</f>
        <v>0</v>
      </c>
      <c r="AC29" s="26">
        <f t="shared" ref="AC29" si="30">SUM(Y29:AB29)</f>
        <v>0</v>
      </c>
      <c r="AD29" s="26">
        <v>65.7</v>
      </c>
      <c r="AE29" s="26">
        <v>65.7</v>
      </c>
      <c r="AF29" s="26">
        <v>0</v>
      </c>
      <c r="AG29" s="26">
        <v>52.2</v>
      </c>
      <c r="AH29" s="26">
        <v>0</v>
      </c>
      <c r="AI29" s="145">
        <f t="shared" si="26"/>
        <v>0</v>
      </c>
      <c r="AJ29" s="145">
        <v>52.2</v>
      </c>
      <c r="AK29" s="145">
        <v>0</v>
      </c>
      <c r="AL29" s="153">
        <v>0</v>
      </c>
      <c r="AM29" s="153">
        <v>0</v>
      </c>
      <c r="AN29" s="145">
        <v>0.5</v>
      </c>
      <c r="AO29" s="145">
        <f>SUM(AK29:AN29)</f>
        <v>0.5</v>
      </c>
      <c r="AP29" s="145">
        <v>176.4</v>
      </c>
      <c r="AQ29" s="153">
        <v>0</v>
      </c>
      <c r="AR29" s="145">
        <v>0</v>
      </c>
      <c r="AS29" s="145">
        <f>AT29-SUM(AP29:AR29)</f>
        <v>0</v>
      </c>
      <c r="AT29" s="145">
        <v>176.4</v>
      </c>
      <c r="AU29" s="145">
        <v>0</v>
      </c>
      <c r="AV29" s="170">
        <v>0</v>
      </c>
    </row>
    <row r="30" spans="1:48" ht="13.5" hidden="1" customHeight="1" x14ac:dyDescent="0.25">
      <c r="A30" s="92" t="s">
        <v>150</v>
      </c>
      <c r="B30" s="99"/>
      <c r="C30" s="99"/>
      <c r="D30" s="99"/>
      <c r="E30" s="99"/>
      <c r="F30" s="99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>
        <v>0</v>
      </c>
      <c r="W30" s="26">
        <v>0</v>
      </c>
      <c r="X30" s="26">
        <v>0</v>
      </c>
      <c r="Y30" s="26">
        <v>0</v>
      </c>
      <c r="Z30" s="26">
        <f t="shared" ref="Z30" si="31">SUM(V30:Y30)</f>
        <v>0</v>
      </c>
      <c r="AA30" s="26">
        <f t="shared" ref="AA30" si="32">SUM(W30:Z30)</f>
        <v>0</v>
      </c>
      <c r="AB30" s="26">
        <f t="shared" ref="AB30" si="33">SUM(X30:AA30)</f>
        <v>0</v>
      </c>
      <c r="AC30" s="26">
        <f t="shared" ref="AC30" si="34">SUM(Y30:AB30)</f>
        <v>0</v>
      </c>
      <c r="AD30" s="26">
        <v>-28.7</v>
      </c>
      <c r="AE30" s="26">
        <v>-28.7</v>
      </c>
      <c r="AF30" s="26">
        <v>0</v>
      </c>
      <c r="AG30" s="26">
        <v>0</v>
      </c>
      <c r="AH30" s="26">
        <v>0</v>
      </c>
      <c r="AI30" s="26">
        <f t="shared" si="26"/>
        <v>0</v>
      </c>
      <c r="AJ30" s="26">
        <v>0</v>
      </c>
      <c r="AK30" s="26">
        <v>0</v>
      </c>
      <c r="AL30" s="27">
        <v>0</v>
      </c>
      <c r="AM30" s="27">
        <v>0</v>
      </c>
      <c r="AN30" s="26">
        <v>0</v>
      </c>
      <c r="AO30" s="145">
        <f>SUM(AK30:AN30)</f>
        <v>0</v>
      </c>
      <c r="AP30" s="26">
        <v>0</v>
      </c>
      <c r="AQ30" s="27">
        <v>0</v>
      </c>
      <c r="AR30" s="26">
        <v>0</v>
      </c>
      <c r="AS30" s="26">
        <v>0</v>
      </c>
      <c r="AT30" s="26">
        <v>0</v>
      </c>
      <c r="AU30" s="26">
        <v>0</v>
      </c>
      <c r="AV30" s="28">
        <v>0</v>
      </c>
    </row>
    <row r="31" spans="1:48" ht="13.5" customHeight="1" x14ac:dyDescent="0.25">
      <c r="A31" s="92" t="s">
        <v>151</v>
      </c>
      <c r="B31" s="99"/>
      <c r="C31" s="99"/>
      <c r="D31" s="99"/>
      <c r="E31" s="99"/>
      <c r="F31" s="99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>
        <v>0</v>
      </c>
      <c r="W31" s="26">
        <v>0</v>
      </c>
      <c r="X31" s="26">
        <v>0</v>
      </c>
      <c r="Y31" s="26">
        <v>0</v>
      </c>
      <c r="Z31" s="26">
        <v>0</v>
      </c>
      <c r="AA31" s="26">
        <v>0</v>
      </c>
      <c r="AB31" s="26">
        <v>0</v>
      </c>
      <c r="AC31" s="26">
        <v>0</v>
      </c>
      <c r="AD31" s="26">
        <v>-7.7</v>
      </c>
      <c r="AE31" s="26">
        <v>-7.7</v>
      </c>
      <c r="AF31" s="26">
        <v>-5.0999999999999996</v>
      </c>
      <c r="AG31" s="26">
        <f>-15.3-14.2</f>
        <v>-29.5</v>
      </c>
      <c r="AH31" s="26">
        <f>-11.2-2.9</f>
        <v>-14.1</v>
      </c>
      <c r="AI31" s="145">
        <f t="shared" si="26"/>
        <v>-5.0999999999999961</v>
      </c>
      <c r="AJ31" s="145">
        <v>-53.8</v>
      </c>
      <c r="AK31" s="145">
        <v>-14</v>
      </c>
      <c r="AL31" s="153">
        <v>-14.6</v>
      </c>
      <c r="AM31" s="153">
        <v>-9</v>
      </c>
      <c r="AN31" s="145">
        <v>-11.9</v>
      </c>
      <c r="AO31" s="145">
        <f>SUM(AK31:AN31)</f>
        <v>-49.5</v>
      </c>
      <c r="AP31" s="145">
        <v>-6</v>
      </c>
      <c r="AQ31" s="153">
        <v>-4.8</v>
      </c>
      <c r="AR31" s="145">
        <v>-3.3</v>
      </c>
      <c r="AS31" s="145">
        <f>AT31-SUM(AP31:AR31)</f>
        <v>-3.5</v>
      </c>
      <c r="AT31" s="145">
        <v>-17.600000000000001</v>
      </c>
      <c r="AU31" s="145">
        <v>-4.5999999999999996</v>
      </c>
      <c r="AV31" s="170">
        <v>-5.2</v>
      </c>
    </row>
    <row r="32" spans="1:48" ht="13.5" hidden="1" customHeight="1" x14ac:dyDescent="0.25">
      <c r="A32" s="92" t="s">
        <v>152</v>
      </c>
      <c r="B32" s="99">
        <v>0</v>
      </c>
      <c r="C32" s="99">
        <v>0</v>
      </c>
      <c r="D32" s="99">
        <v>0</v>
      </c>
      <c r="E32" s="99">
        <v>0</v>
      </c>
      <c r="F32" s="99">
        <f t="shared" si="24"/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f>-184.6+118.3</f>
        <v>-66.3</v>
      </c>
      <c r="W32" s="26">
        <v>0</v>
      </c>
      <c r="X32" s="26">
        <v>0</v>
      </c>
      <c r="Y32" s="26">
        <v>0</v>
      </c>
      <c r="Z32" s="26">
        <f t="shared" si="25"/>
        <v>-66.3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6">
        <v>0</v>
      </c>
      <c r="AI32" s="26">
        <f t="shared" si="26"/>
        <v>0</v>
      </c>
      <c r="AJ32" s="26">
        <v>0</v>
      </c>
      <c r="AK32" s="26">
        <v>0</v>
      </c>
      <c r="AL32" s="27">
        <v>0</v>
      </c>
      <c r="AM32" s="27">
        <v>0</v>
      </c>
      <c r="AN32" s="26">
        <v>0</v>
      </c>
      <c r="AO32" s="26">
        <v>0</v>
      </c>
      <c r="AP32" s="26"/>
      <c r="AQ32" s="27">
        <v>0</v>
      </c>
      <c r="AR32" s="26"/>
      <c r="AS32" s="26"/>
      <c r="AT32" s="26"/>
      <c r="AU32" s="26"/>
      <c r="AV32" s="28"/>
    </row>
    <row r="33" spans="1:48" ht="13.5" customHeight="1" x14ac:dyDescent="0.25">
      <c r="A33" s="92" t="s">
        <v>153</v>
      </c>
      <c r="B33" s="99">
        <v>0</v>
      </c>
      <c r="C33" s="99">
        <v>0</v>
      </c>
      <c r="D33" s="99">
        <v>0</v>
      </c>
      <c r="E33" s="99">
        <v>0</v>
      </c>
      <c r="F33" s="99">
        <f t="shared" si="24"/>
        <v>0</v>
      </c>
      <c r="G33" s="26">
        <v>0</v>
      </c>
      <c r="H33" s="26">
        <v>-34.299999999999997</v>
      </c>
      <c r="I33" s="26">
        <v>-1</v>
      </c>
      <c r="J33" s="26">
        <v>-0.1</v>
      </c>
      <c r="K33" s="26">
        <v>-35.4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26">
        <v>0</v>
      </c>
      <c r="W33" s="26">
        <v>0</v>
      </c>
      <c r="X33" s="26">
        <v>0</v>
      </c>
      <c r="Y33" s="26">
        <v>0</v>
      </c>
      <c r="Z33" s="26">
        <f t="shared" si="25"/>
        <v>0</v>
      </c>
      <c r="AA33" s="26">
        <f>-59.8-11.9+0.1</f>
        <v>-71.600000000000009</v>
      </c>
      <c r="AB33" s="26">
        <v>0</v>
      </c>
      <c r="AC33" s="26">
        <v>0</v>
      </c>
      <c r="AD33" s="26">
        <v>0</v>
      </c>
      <c r="AE33" s="26">
        <v>-71.599999999999994</v>
      </c>
      <c r="AF33" s="26">
        <v>0</v>
      </c>
      <c r="AG33" s="26">
        <v>0</v>
      </c>
      <c r="AH33" s="26">
        <v>0</v>
      </c>
      <c r="AI33" s="26">
        <f t="shared" si="26"/>
        <v>0</v>
      </c>
      <c r="AJ33" s="26">
        <v>0</v>
      </c>
      <c r="AK33" s="26">
        <v>0</v>
      </c>
      <c r="AL33" s="27">
        <v>0</v>
      </c>
      <c r="AM33" s="27">
        <v>0</v>
      </c>
      <c r="AN33" s="26">
        <v>-4</v>
      </c>
      <c r="AO33" s="145">
        <f>SUM(AK33:AN33)</f>
        <v>-4</v>
      </c>
      <c r="AP33" s="26">
        <v>0</v>
      </c>
      <c r="AQ33" s="27">
        <v>0</v>
      </c>
      <c r="AR33" s="26">
        <v>0</v>
      </c>
      <c r="AS33" s="145">
        <f>AT33-SUM(AP33:AR33)</f>
        <v>0</v>
      </c>
      <c r="AT33" s="145">
        <v>0</v>
      </c>
      <c r="AU33" s="145">
        <v>0</v>
      </c>
      <c r="AV33" s="170">
        <v>0</v>
      </c>
    </row>
    <row r="34" spans="1:48" ht="13.5" customHeight="1" x14ac:dyDescent="0.25">
      <c r="A34" s="92" t="s">
        <v>154</v>
      </c>
      <c r="B34" s="99"/>
      <c r="C34" s="99"/>
      <c r="D34" s="99"/>
      <c r="E34" s="99"/>
      <c r="F34" s="99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-3.2</v>
      </c>
      <c r="AE34" s="26">
        <v>-3.2</v>
      </c>
      <c r="AF34" s="26">
        <v>0</v>
      </c>
      <c r="AG34" s="26">
        <v>0</v>
      </c>
      <c r="AH34" s="26">
        <v>0</v>
      </c>
      <c r="AI34" s="26">
        <f t="shared" si="26"/>
        <v>0</v>
      </c>
      <c r="AJ34" s="26">
        <v>0</v>
      </c>
      <c r="AK34" s="26">
        <v>0</v>
      </c>
      <c r="AL34" s="27">
        <v>0</v>
      </c>
      <c r="AM34" s="27">
        <v>0</v>
      </c>
      <c r="AN34" s="26">
        <v>0</v>
      </c>
      <c r="AO34" s="145">
        <f>SUM(AK34:AN34)</f>
        <v>0</v>
      </c>
      <c r="AP34" s="26">
        <v>0</v>
      </c>
      <c r="AQ34" s="27">
        <v>0</v>
      </c>
      <c r="AR34" s="26">
        <v>0</v>
      </c>
      <c r="AS34" s="145">
        <f>AT34-SUM(AP34:AR34)</f>
        <v>0</v>
      </c>
      <c r="AT34" s="145">
        <v>0</v>
      </c>
      <c r="AU34" s="145">
        <v>0</v>
      </c>
      <c r="AV34" s="170">
        <v>0</v>
      </c>
    </row>
    <row r="35" spans="1:48" ht="13.5" customHeight="1" x14ac:dyDescent="0.25">
      <c r="A35" s="92" t="s">
        <v>155</v>
      </c>
      <c r="B35" s="99">
        <v>-89.7</v>
      </c>
      <c r="C35" s="99">
        <v>-118.2</v>
      </c>
      <c r="D35" s="99">
        <v>-117.2</v>
      </c>
      <c r="E35" s="99">
        <f>-76.2-0.1</f>
        <v>-76.3</v>
      </c>
      <c r="F35" s="99">
        <f t="shared" si="24"/>
        <v>-401.40000000000003</v>
      </c>
      <c r="G35" s="26">
        <v>-55.3</v>
      </c>
      <c r="H35" s="26">
        <v>-83.8</v>
      </c>
      <c r="I35" s="26">
        <v>-175</v>
      </c>
      <c r="J35" s="26">
        <v>-128.9</v>
      </c>
      <c r="K35" s="26">
        <v>-443</v>
      </c>
      <c r="L35" s="26">
        <v>-95.8</v>
      </c>
      <c r="M35" s="26">
        <v>-101.2</v>
      </c>
      <c r="N35" s="26">
        <v>-107.1</v>
      </c>
      <c r="O35" s="26">
        <v>-53.1</v>
      </c>
      <c r="P35" s="26">
        <v>-357.20000000000005</v>
      </c>
      <c r="Q35" s="26">
        <v>-48.2</v>
      </c>
      <c r="R35" s="26">
        <v>-44.2</v>
      </c>
      <c r="S35" s="26">
        <v>-93.7</v>
      </c>
      <c r="T35" s="26">
        <v>-87.4</v>
      </c>
      <c r="U35" s="26">
        <v>-273.5</v>
      </c>
      <c r="V35" s="26">
        <v>-49.4</v>
      </c>
      <c r="W35" s="26">
        <f>-13.2-3.6</f>
        <v>-16.8</v>
      </c>
      <c r="X35" s="26">
        <v>-10.3</v>
      </c>
      <c r="Y35" s="26">
        <v>-7.5</v>
      </c>
      <c r="Z35" s="26">
        <f t="shared" si="25"/>
        <v>-84</v>
      </c>
      <c r="AA35" s="26">
        <f>-14.7-0.1</f>
        <v>-14.799999999999999</v>
      </c>
      <c r="AB35" s="26">
        <v>-41.2</v>
      </c>
      <c r="AC35" s="26">
        <f>-79.7+6.8</f>
        <v>-72.900000000000006</v>
      </c>
      <c r="AD35" s="26">
        <f>-166.6+0.1</f>
        <v>-166.5</v>
      </c>
      <c r="AE35" s="26">
        <v>-295.39999999999998</v>
      </c>
      <c r="AF35" s="26">
        <v>-180.2</v>
      </c>
      <c r="AG35" s="26">
        <v>-167.8</v>
      </c>
      <c r="AH35" s="26">
        <v>-215.4</v>
      </c>
      <c r="AI35" s="145">
        <f t="shared" si="26"/>
        <v>-166.10000000000002</v>
      </c>
      <c r="AJ35" s="145">
        <v>-729.5</v>
      </c>
      <c r="AK35" s="145">
        <v>-194.5</v>
      </c>
      <c r="AL35" s="153">
        <v>-214.9</v>
      </c>
      <c r="AM35" s="153">
        <v>-191.8</v>
      </c>
      <c r="AN35" s="145">
        <v>-203.3</v>
      </c>
      <c r="AO35" s="145">
        <f>SUM(AK35:AN35)</f>
        <v>-804.5</v>
      </c>
      <c r="AP35" s="145">
        <f>-91.2-2</f>
        <v>-93.2</v>
      </c>
      <c r="AQ35" s="153">
        <v>-112.2</v>
      </c>
      <c r="AR35" s="145">
        <v>-77.7</v>
      </c>
      <c r="AS35" s="145">
        <f>AT35-SUM(AP35:AR35)</f>
        <v>-96.799999999999955</v>
      </c>
      <c r="AT35" s="145">
        <v>-379.9</v>
      </c>
      <c r="AU35" s="145">
        <v>-70.2</v>
      </c>
      <c r="AV35" s="170">
        <v>-95.8</v>
      </c>
    </row>
    <row r="36" spans="1:48" ht="13.5" customHeight="1" x14ac:dyDescent="0.25">
      <c r="A36" s="102" t="s">
        <v>156</v>
      </c>
      <c r="B36" s="104">
        <f>SUM(B26:B35)</f>
        <v>-89.2</v>
      </c>
      <c r="C36" s="104">
        <f t="shared" ref="C36:AC36" si="35">SUM(C26:C35)</f>
        <v>-117.7</v>
      </c>
      <c r="D36" s="104">
        <f t="shared" si="35"/>
        <v>-116.8</v>
      </c>
      <c r="E36" s="104">
        <f t="shared" si="35"/>
        <v>-76</v>
      </c>
      <c r="F36" s="104">
        <f t="shared" si="35"/>
        <v>-399.70000000000005</v>
      </c>
      <c r="G36" s="33">
        <f t="shared" si="35"/>
        <v>-55.099999999999994</v>
      </c>
      <c r="H36" s="33">
        <f t="shared" si="35"/>
        <v>-117.3</v>
      </c>
      <c r="I36" s="33">
        <f t="shared" si="35"/>
        <v>-175.7</v>
      </c>
      <c r="J36" s="33">
        <f t="shared" si="35"/>
        <v>-128.5</v>
      </c>
      <c r="K36" s="33">
        <f t="shared" si="35"/>
        <v>-476.6</v>
      </c>
      <c r="L36" s="33">
        <f t="shared" si="35"/>
        <v>-95.3</v>
      </c>
      <c r="M36" s="33">
        <f t="shared" si="35"/>
        <v>-100.60000000000001</v>
      </c>
      <c r="N36" s="33">
        <f t="shared" si="35"/>
        <v>-106.5</v>
      </c>
      <c r="O36" s="33">
        <f t="shared" si="35"/>
        <v>-52.4</v>
      </c>
      <c r="P36" s="33">
        <f t="shared" si="35"/>
        <v>-354.80000000000007</v>
      </c>
      <c r="Q36" s="33">
        <f t="shared" si="35"/>
        <v>-47.400000000000006</v>
      </c>
      <c r="R36" s="33">
        <f t="shared" si="35"/>
        <v>-14.600000000000001</v>
      </c>
      <c r="S36" s="33">
        <f t="shared" si="35"/>
        <v>-92.5</v>
      </c>
      <c r="T36" s="33">
        <f t="shared" si="35"/>
        <v>-70.2</v>
      </c>
      <c r="U36" s="33">
        <f t="shared" si="35"/>
        <v>-224.7</v>
      </c>
      <c r="V36" s="33">
        <f t="shared" si="35"/>
        <v>-115.4</v>
      </c>
      <c r="W36" s="33">
        <f t="shared" si="35"/>
        <v>-16.600000000000001</v>
      </c>
      <c r="X36" s="33">
        <f t="shared" si="35"/>
        <v>-10.200000000000001</v>
      </c>
      <c r="Y36" s="33">
        <f t="shared" si="35"/>
        <v>-7.4</v>
      </c>
      <c r="Z36" s="33">
        <f t="shared" si="35"/>
        <v>-149.6</v>
      </c>
      <c r="AA36" s="33">
        <f t="shared" si="35"/>
        <v>-86.300000000000011</v>
      </c>
      <c r="AB36" s="33">
        <f t="shared" si="35"/>
        <v>-25.1</v>
      </c>
      <c r="AC36" s="33">
        <f t="shared" si="35"/>
        <v>-72.800000000000011</v>
      </c>
      <c r="AD36" s="33">
        <f t="shared" ref="AD36:AE36" si="36">SUM(AD26:AD35)</f>
        <v>-138.80000000000001</v>
      </c>
      <c r="AE36" s="33">
        <f t="shared" si="36"/>
        <v>-322.99999999999994</v>
      </c>
      <c r="AF36" s="138">
        <f t="shared" ref="AF36:AG36" si="37">SUM(AF26:AF35)</f>
        <v>-158.19999999999999</v>
      </c>
      <c r="AG36" s="138">
        <f t="shared" si="37"/>
        <v>-144.5</v>
      </c>
      <c r="AH36" s="138">
        <f t="shared" ref="AH36:AJ36" si="38">SUM(AH26:AH35)</f>
        <v>-228.70000000000002</v>
      </c>
      <c r="AI36" s="138">
        <f t="shared" si="38"/>
        <v>-170.4</v>
      </c>
      <c r="AJ36" s="138">
        <f t="shared" si="38"/>
        <v>-701.8</v>
      </c>
      <c r="AK36" s="138">
        <f t="shared" ref="AK36:AL36" si="39">SUM(AK26:AK35)</f>
        <v>-82.4</v>
      </c>
      <c r="AL36" s="156">
        <f t="shared" si="39"/>
        <v>-195.70000000000002</v>
      </c>
      <c r="AM36" s="156">
        <f t="shared" ref="AM36:AN36" si="40">SUM(AM26:AM35)</f>
        <v>-178.3</v>
      </c>
      <c r="AN36" s="138">
        <f t="shared" si="40"/>
        <v>-190.5</v>
      </c>
      <c r="AO36" s="138">
        <f t="shared" ref="AO36:AQ36" si="41">SUM(AO26:AO35)</f>
        <v>-646.9</v>
      </c>
      <c r="AP36" s="138">
        <f t="shared" si="41"/>
        <v>82.100000000000009</v>
      </c>
      <c r="AQ36" s="156">
        <f t="shared" si="41"/>
        <v>-81.900000000000006</v>
      </c>
      <c r="AR36" s="138">
        <f t="shared" ref="AR36" si="42">SUM(AR26:AR35)</f>
        <v>-76.600000000000009</v>
      </c>
      <c r="AS36" s="138">
        <f t="shared" ref="AS36" si="43">SUM(AS26:AS35)</f>
        <v>-95.599999999999952</v>
      </c>
      <c r="AT36" s="138">
        <v>-171.99999999999997</v>
      </c>
      <c r="AU36" s="138">
        <f>SUM(AU26:AU35)</f>
        <v>31.5</v>
      </c>
      <c r="AV36" s="139">
        <f>SUM(AV26:AV35)</f>
        <v>-71.5</v>
      </c>
    </row>
    <row r="37" spans="1:48" ht="13.5" customHeight="1" x14ac:dyDescent="0.25">
      <c r="A37" s="103"/>
      <c r="B37" s="88"/>
      <c r="C37" s="88"/>
      <c r="D37" s="88"/>
      <c r="E37" s="88"/>
      <c r="F37" s="88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137"/>
      <c r="AG37" s="137"/>
      <c r="AH37" s="137"/>
      <c r="AI37" s="137"/>
      <c r="AJ37" s="137"/>
      <c r="AK37" s="137"/>
      <c r="AL37" s="155"/>
      <c r="AM37" s="155"/>
      <c r="AN37" s="137"/>
      <c r="AO37" s="137"/>
      <c r="AP37" s="137"/>
      <c r="AQ37" s="155"/>
      <c r="AR37" s="137"/>
      <c r="AS37" s="137"/>
      <c r="AT37" s="137"/>
      <c r="AU37" s="137"/>
      <c r="AV37" s="172"/>
    </row>
    <row r="38" spans="1:48" ht="13.5" customHeight="1" x14ac:dyDescent="0.25">
      <c r="A38" s="92" t="s">
        <v>157</v>
      </c>
      <c r="B38" s="99">
        <v>159</v>
      </c>
      <c r="C38" s="99">
        <v>98</v>
      </c>
      <c r="D38" s="99">
        <v>124</v>
      </c>
      <c r="E38" s="99">
        <v>34</v>
      </c>
      <c r="F38" s="99">
        <f t="shared" ref="F38:F48" si="44">SUM(B38:E38)</f>
        <v>415</v>
      </c>
      <c r="G38" s="26">
        <v>100</v>
      </c>
      <c r="H38" s="26">
        <v>64</v>
      </c>
      <c r="I38" s="26">
        <v>177</v>
      </c>
      <c r="J38" s="26">
        <v>33</v>
      </c>
      <c r="K38" s="26">
        <v>374</v>
      </c>
      <c r="L38" s="26">
        <v>56</v>
      </c>
      <c r="M38" s="26">
        <v>25</v>
      </c>
      <c r="N38" s="26">
        <v>95</v>
      </c>
      <c r="O38" s="26">
        <v>65</v>
      </c>
      <c r="P38" s="26">
        <v>241</v>
      </c>
      <c r="Q38" s="26">
        <v>105</v>
      </c>
      <c r="R38" s="26">
        <v>340</v>
      </c>
      <c r="S38" s="26">
        <v>0</v>
      </c>
      <c r="T38" s="26">
        <v>556.20000000000005</v>
      </c>
      <c r="U38" s="26">
        <v>1001.2</v>
      </c>
      <c r="V38" s="26">
        <v>140</v>
      </c>
      <c r="W38" s="26">
        <v>0</v>
      </c>
      <c r="X38" s="26">
        <v>0</v>
      </c>
      <c r="Y38" s="26">
        <v>0</v>
      </c>
      <c r="Z38" s="26">
        <f t="shared" ref="Z38:Z48" si="45">SUM(V38:Y38)</f>
        <v>140</v>
      </c>
      <c r="AA38" s="26">
        <v>110</v>
      </c>
      <c r="AB38" s="26">
        <v>0</v>
      </c>
      <c r="AC38" s="26">
        <v>25</v>
      </c>
      <c r="AD38" s="26">
        <v>177.89999999999998</v>
      </c>
      <c r="AE38" s="26">
        <v>312.89999999999998</v>
      </c>
      <c r="AF38" s="26">
        <v>84.3</v>
      </c>
      <c r="AG38" s="26">
        <v>109.4</v>
      </c>
      <c r="AH38" s="26">
        <v>117.1</v>
      </c>
      <c r="AI38" s="145">
        <f t="shared" ref="AI38:AI48" si="46">+AJ38-AH38-AG38-AF38</f>
        <v>33.399999999999991</v>
      </c>
      <c r="AJ38" s="145">
        <v>344.2</v>
      </c>
      <c r="AK38" s="145">
        <v>124.5</v>
      </c>
      <c r="AL38" s="153">
        <v>150.19999999999999</v>
      </c>
      <c r="AM38" s="153">
        <v>234.4</v>
      </c>
      <c r="AN38" s="145">
        <v>402.8</v>
      </c>
      <c r="AO38" s="145">
        <f>SUM(AK38:AN38)</f>
        <v>911.90000000000009</v>
      </c>
      <c r="AP38" s="26">
        <v>0</v>
      </c>
      <c r="AQ38" s="153">
        <v>62.6</v>
      </c>
      <c r="AR38" s="26">
        <v>28</v>
      </c>
      <c r="AS38" s="145">
        <f>AT38-SUM(AP38:AR38)</f>
        <v>72.400000000000006</v>
      </c>
      <c r="AT38" s="145">
        <v>163</v>
      </c>
      <c r="AU38" s="145">
        <v>49.9</v>
      </c>
      <c r="AV38" s="170">
        <v>25.5</v>
      </c>
    </row>
    <row r="39" spans="1:48" ht="13.5" hidden="1" customHeight="1" x14ac:dyDescent="0.25">
      <c r="A39" s="92" t="s">
        <v>204</v>
      </c>
      <c r="B39" s="99">
        <v>0</v>
      </c>
      <c r="C39" s="99">
        <v>0</v>
      </c>
      <c r="D39" s="99">
        <v>100</v>
      </c>
      <c r="E39" s="99">
        <v>0</v>
      </c>
      <c r="F39" s="99">
        <f t="shared" si="44"/>
        <v>100</v>
      </c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26">
        <v>0</v>
      </c>
      <c r="W39" s="26">
        <v>0</v>
      </c>
      <c r="X39" s="26">
        <v>0</v>
      </c>
      <c r="Y39" s="26">
        <v>0</v>
      </c>
      <c r="Z39" s="26">
        <f t="shared" si="45"/>
        <v>0</v>
      </c>
      <c r="AA39" s="26">
        <v>59.1</v>
      </c>
      <c r="AB39" s="26">
        <v>2.5</v>
      </c>
      <c r="AC39" s="26">
        <v>0</v>
      </c>
      <c r="AD39" s="26">
        <v>0</v>
      </c>
      <c r="AE39" s="26">
        <v>61.6</v>
      </c>
      <c r="AF39" s="26">
        <v>0</v>
      </c>
      <c r="AG39" s="26">
        <v>0</v>
      </c>
      <c r="AH39" s="26">
        <v>0</v>
      </c>
      <c r="AI39" s="26">
        <f t="shared" si="46"/>
        <v>0</v>
      </c>
      <c r="AJ39" s="26">
        <v>0</v>
      </c>
      <c r="AK39" s="26">
        <v>0</v>
      </c>
      <c r="AL39" s="27">
        <v>0</v>
      </c>
      <c r="AM39" s="27">
        <v>0</v>
      </c>
      <c r="AN39" s="26">
        <v>0</v>
      </c>
      <c r="AO39" s="145">
        <f>SUM(AK39:AN39)</f>
        <v>0</v>
      </c>
      <c r="AP39" s="26">
        <v>0</v>
      </c>
      <c r="AQ39" s="27">
        <v>0</v>
      </c>
      <c r="AR39" s="26">
        <v>0</v>
      </c>
      <c r="AS39" s="26">
        <v>0</v>
      </c>
      <c r="AT39" s="26">
        <v>0</v>
      </c>
      <c r="AU39" s="26">
        <v>0</v>
      </c>
      <c r="AV39" s="28">
        <v>0</v>
      </c>
    </row>
    <row r="40" spans="1:48" ht="13.5" customHeight="1" x14ac:dyDescent="0.25">
      <c r="A40" s="92" t="s">
        <v>206</v>
      </c>
      <c r="B40" s="99"/>
      <c r="C40" s="99"/>
      <c r="D40" s="99"/>
      <c r="E40" s="99"/>
      <c r="F40" s="99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>
        <v>0</v>
      </c>
      <c r="AB40" s="26">
        <v>0</v>
      </c>
      <c r="AC40" s="26">
        <v>0</v>
      </c>
      <c r="AD40" s="26">
        <v>0</v>
      </c>
      <c r="AE40" s="26">
        <v>0</v>
      </c>
      <c r="AF40" s="26">
        <v>0</v>
      </c>
      <c r="AG40" s="26">
        <v>0</v>
      </c>
      <c r="AH40" s="26">
        <v>0</v>
      </c>
      <c r="AI40" s="26">
        <v>0</v>
      </c>
      <c r="AJ40" s="26">
        <v>0</v>
      </c>
      <c r="AK40" s="26">
        <v>0</v>
      </c>
      <c r="AL40" s="27">
        <v>0</v>
      </c>
      <c r="AM40" s="27">
        <v>0</v>
      </c>
      <c r="AN40" s="26">
        <v>18.899999999999999</v>
      </c>
      <c r="AO40" s="145">
        <f>SUM(AK40:AN40)</f>
        <v>18.899999999999999</v>
      </c>
      <c r="AP40" s="26">
        <v>0</v>
      </c>
      <c r="AQ40" s="27">
        <v>0</v>
      </c>
      <c r="AR40" s="26">
        <v>0</v>
      </c>
      <c r="AS40" s="145">
        <f>AT40-SUM(AP40:AR40)</f>
        <v>0</v>
      </c>
      <c r="AT40" s="145">
        <v>0</v>
      </c>
      <c r="AU40" s="145">
        <v>0</v>
      </c>
      <c r="AV40" s="170">
        <v>0</v>
      </c>
    </row>
    <row r="41" spans="1:48" ht="13.5" customHeight="1" x14ac:dyDescent="0.25">
      <c r="A41" s="92" t="s">
        <v>158</v>
      </c>
      <c r="B41" s="99">
        <v>0</v>
      </c>
      <c r="C41" s="99">
        <v>0</v>
      </c>
      <c r="D41" s="99">
        <v>0</v>
      </c>
      <c r="E41" s="99">
        <v>0</v>
      </c>
      <c r="F41" s="99">
        <f t="shared" si="44"/>
        <v>0</v>
      </c>
      <c r="G41" s="26">
        <v>0</v>
      </c>
      <c r="H41" s="26">
        <v>16</v>
      </c>
      <c r="I41" s="26">
        <v>0</v>
      </c>
      <c r="J41" s="26">
        <v>278.89999999999998</v>
      </c>
      <c r="K41" s="26">
        <v>294.89999999999998</v>
      </c>
      <c r="L41" s="26">
        <v>-3</v>
      </c>
      <c r="M41" s="26">
        <v>6.3</v>
      </c>
      <c r="N41" s="26">
        <v>14.1</v>
      </c>
      <c r="O41" s="26">
        <v>13.7</v>
      </c>
      <c r="P41" s="26">
        <v>31.099999999999998</v>
      </c>
      <c r="Q41" s="26">
        <f>-2.6-4.7</f>
        <v>-7.3000000000000007</v>
      </c>
      <c r="R41" s="26">
        <v>-8.4</v>
      </c>
      <c r="S41" s="26">
        <v>-8.5</v>
      </c>
      <c r="T41" s="26">
        <v>-13.4</v>
      </c>
      <c r="U41" s="26">
        <v>-37.6</v>
      </c>
      <c r="V41" s="26">
        <v>-8.4</v>
      </c>
      <c r="W41" s="26">
        <v>-8.1</v>
      </c>
      <c r="X41" s="26">
        <v>-8.1999999999999993</v>
      </c>
      <c r="Y41" s="26">
        <v>-11.5</v>
      </c>
      <c r="Z41" s="26">
        <f t="shared" si="45"/>
        <v>-36.200000000000003</v>
      </c>
      <c r="AA41" s="26">
        <v>-4.7</v>
      </c>
      <c r="AB41" s="26">
        <v>-8</v>
      </c>
      <c r="AC41" s="26">
        <v>-7.9</v>
      </c>
      <c r="AD41" s="26">
        <v>-7.8</v>
      </c>
      <c r="AE41" s="26">
        <v>-28.4</v>
      </c>
      <c r="AF41" s="26">
        <v>-7.8</v>
      </c>
      <c r="AG41" s="26">
        <v>-10.199999999999999</v>
      </c>
      <c r="AH41" s="26">
        <v>-5.0999999999999996</v>
      </c>
      <c r="AI41" s="26">
        <f t="shared" si="46"/>
        <v>-7.7000000000000037</v>
      </c>
      <c r="AJ41" s="26">
        <v>-30.8</v>
      </c>
      <c r="AK41" s="26">
        <v>-7.5</v>
      </c>
      <c r="AL41" s="27">
        <v>-7.5</v>
      </c>
      <c r="AM41" s="27">
        <v>-7.4</v>
      </c>
      <c r="AN41" s="26">
        <v>-7.3</v>
      </c>
      <c r="AO41" s="145">
        <f>SUM(AK41:AN41)</f>
        <v>-29.7</v>
      </c>
      <c r="AP41" s="26">
        <v>-7.3</v>
      </c>
      <c r="AQ41" s="27">
        <v>-7.2</v>
      </c>
      <c r="AR41" s="26">
        <v>-7.2</v>
      </c>
      <c r="AS41" s="145">
        <f>AT41-SUM(AP41:AR41)</f>
        <v>-7.0999999999999979</v>
      </c>
      <c r="AT41" s="145">
        <v>-28.799999999999997</v>
      </c>
      <c r="AU41" s="145">
        <v>-7.1</v>
      </c>
      <c r="AV41" s="170">
        <v>-7</v>
      </c>
    </row>
    <row r="42" spans="1:48" ht="12.75" x14ac:dyDescent="0.25">
      <c r="A42" s="92" t="s">
        <v>217</v>
      </c>
      <c r="B42" s="99">
        <v>0</v>
      </c>
      <c r="C42" s="99">
        <v>0</v>
      </c>
      <c r="D42" s="99">
        <v>0</v>
      </c>
      <c r="E42" s="99">
        <v>0</v>
      </c>
      <c r="F42" s="99">
        <f t="shared" si="44"/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26">
        <v>0</v>
      </c>
      <c r="W42" s="26">
        <v>-9.9</v>
      </c>
      <c r="X42" s="26">
        <v>0</v>
      </c>
      <c r="Y42" s="26">
        <v>-0.1</v>
      </c>
      <c r="Z42" s="26">
        <f t="shared" si="45"/>
        <v>-10</v>
      </c>
      <c r="AA42" s="26">
        <v>0</v>
      </c>
      <c r="AB42" s="26">
        <v>0</v>
      </c>
      <c r="AC42" s="26">
        <v>0</v>
      </c>
      <c r="AD42" s="26">
        <v>0</v>
      </c>
      <c r="AE42" s="26">
        <v>0</v>
      </c>
      <c r="AF42" s="26">
        <v>0</v>
      </c>
      <c r="AG42" s="26">
        <v>0</v>
      </c>
      <c r="AH42" s="26">
        <v>0</v>
      </c>
      <c r="AI42" s="26">
        <f t="shared" si="46"/>
        <v>0</v>
      </c>
      <c r="AJ42" s="26">
        <v>0</v>
      </c>
      <c r="AK42" s="26">
        <v>0</v>
      </c>
      <c r="AL42" s="27">
        <v>0</v>
      </c>
      <c r="AM42" s="27">
        <v>0</v>
      </c>
      <c r="AN42" s="26">
        <v>0</v>
      </c>
      <c r="AO42" s="26">
        <v>0</v>
      </c>
      <c r="AP42" s="26"/>
      <c r="AQ42" s="27">
        <v>0</v>
      </c>
      <c r="AR42" s="26"/>
      <c r="AS42" s="26"/>
      <c r="AT42" s="26"/>
      <c r="AU42" s="26"/>
      <c r="AV42" s="28">
        <v>1</v>
      </c>
    </row>
    <row r="43" spans="1:48" ht="13.5" customHeight="1" x14ac:dyDescent="0.2">
      <c r="A43" s="92" t="s">
        <v>159</v>
      </c>
      <c r="B43" s="99">
        <v>-21.4</v>
      </c>
      <c r="C43" s="99">
        <v>-20.7</v>
      </c>
      <c r="D43" s="99">
        <v>-28.3</v>
      </c>
      <c r="E43" s="99">
        <v>-21.9</v>
      </c>
      <c r="F43" s="99">
        <f t="shared" si="44"/>
        <v>-92.299999999999983</v>
      </c>
      <c r="G43" s="74">
        <v>-22.5</v>
      </c>
      <c r="H43" s="74">
        <v>-22.9</v>
      </c>
      <c r="I43" s="74">
        <v>-20.5</v>
      </c>
      <c r="J43" s="74">
        <v>-21.4</v>
      </c>
      <c r="K43" s="74">
        <v>-87.3</v>
      </c>
      <c r="L43" s="74">
        <v>-19.5</v>
      </c>
      <c r="M43" s="74">
        <v>-19.2</v>
      </c>
      <c r="N43" s="74">
        <v>-20.399999999999999</v>
      </c>
      <c r="O43" s="74">
        <v>-19.2</v>
      </c>
      <c r="P43" s="74">
        <v>-78.3</v>
      </c>
      <c r="Q43" s="26">
        <v>-21.2</v>
      </c>
      <c r="R43" s="26">
        <f>-13.3-14.5</f>
        <v>-27.8</v>
      </c>
      <c r="S43" s="26">
        <f>-34.1+14.5</f>
        <v>-19.600000000000001</v>
      </c>
      <c r="T43" s="26">
        <v>-23.7</v>
      </c>
      <c r="U43" s="26">
        <v>-92.3</v>
      </c>
      <c r="V43" s="26">
        <v>-12.4</v>
      </c>
      <c r="W43" s="26">
        <v>-15.4</v>
      </c>
      <c r="X43" s="26">
        <v>-10.8</v>
      </c>
      <c r="Y43" s="26">
        <v>-12</v>
      </c>
      <c r="Z43" s="26">
        <f t="shared" si="45"/>
        <v>-50.6</v>
      </c>
      <c r="AA43" s="26">
        <v>-10.3</v>
      </c>
      <c r="AB43" s="26">
        <v>-14.4</v>
      </c>
      <c r="AC43" s="26">
        <v>-12.8</v>
      </c>
      <c r="AD43" s="26">
        <v>-14.8</v>
      </c>
      <c r="AE43" s="26">
        <v>-52.3</v>
      </c>
      <c r="AF43" s="26">
        <v>-9.1</v>
      </c>
      <c r="AG43" s="26">
        <v>-12.7</v>
      </c>
      <c r="AH43" s="26">
        <v>-7.56</v>
      </c>
      <c r="AI43" s="145">
        <f t="shared" si="46"/>
        <v>-9.1400000000000023</v>
      </c>
      <c r="AJ43" s="145">
        <v>-38.5</v>
      </c>
      <c r="AK43" s="145">
        <v>-4.5</v>
      </c>
      <c r="AL43" s="153">
        <v>-0.9</v>
      </c>
      <c r="AM43" s="153">
        <v>-3.6</v>
      </c>
      <c r="AN43" s="145">
        <v>-10.7</v>
      </c>
      <c r="AO43" s="145">
        <f t="shared" ref="AO43:AO48" si="47">SUM(AK43:AN43)</f>
        <v>-19.7</v>
      </c>
      <c r="AP43" s="145">
        <v>1.2</v>
      </c>
      <c r="AQ43" s="153">
        <v>-6.1</v>
      </c>
      <c r="AR43" s="145">
        <v>-3.5</v>
      </c>
      <c r="AS43" s="145">
        <f>AT43-SUM(AP43:AR43)</f>
        <v>-5.1999999999999993</v>
      </c>
      <c r="AT43" s="145">
        <v>-13.599999999999998</v>
      </c>
      <c r="AU43" s="145">
        <v>13.7</v>
      </c>
      <c r="AV43" s="170">
        <v>-3.7</v>
      </c>
    </row>
    <row r="44" spans="1:48" ht="13.5" hidden="1" customHeight="1" x14ac:dyDescent="0.25">
      <c r="A44" s="92" t="s">
        <v>160</v>
      </c>
      <c r="B44" s="99">
        <v>0</v>
      </c>
      <c r="C44" s="99">
        <v>0</v>
      </c>
      <c r="D44" s="99">
        <v>-4</v>
      </c>
      <c r="E44" s="99">
        <v>0</v>
      </c>
      <c r="F44" s="99">
        <f t="shared" si="44"/>
        <v>-4</v>
      </c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  <c r="W44" s="26">
        <v>0</v>
      </c>
      <c r="X44" s="26">
        <v>0</v>
      </c>
      <c r="Y44" s="26">
        <v>0</v>
      </c>
      <c r="Z44" s="26">
        <f t="shared" si="45"/>
        <v>0</v>
      </c>
      <c r="AA44" s="26">
        <f>-3</f>
        <v>-3</v>
      </c>
      <c r="AB44" s="26">
        <v>0.3</v>
      </c>
      <c r="AC44" s="26">
        <v>0</v>
      </c>
      <c r="AD44" s="26">
        <v>0</v>
      </c>
      <c r="AE44" s="26">
        <v>-2.7</v>
      </c>
      <c r="AF44" s="26">
        <v>0</v>
      </c>
      <c r="AG44" s="26">
        <v>0</v>
      </c>
      <c r="AH44" s="26">
        <v>0</v>
      </c>
      <c r="AI44" s="26">
        <f t="shared" si="46"/>
        <v>0</v>
      </c>
      <c r="AJ44" s="26">
        <v>0</v>
      </c>
      <c r="AK44" s="26">
        <v>0</v>
      </c>
      <c r="AL44" s="27">
        <v>0</v>
      </c>
      <c r="AM44" s="27">
        <v>0</v>
      </c>
      <c r="AN44" s="26">
        <v>0</v>
      </c>
      <c r="AO44" s="145">
        <f t="shared" si="47"/>
        <v>0</v>
      </c>
      <c r="AP44" s="26">
        <v>0</v>
      </c>
      <c r="AQ44" s="27">
        <v>0</v>
      </c>
      <c r="AR44" s="26"/>
      <c r="AS44" s="26"/>
      <c r="AT44" s="26"/>
      <c r="AU44" s="26"/>
      <c r="AV44" s="28"/>
    </row>
    <row r="45" spans="1:48" s="54" customFormat="1" ht="13.5" customHeight="1" x14ac:dyDescent="0.2">
      <c r="A45" s="92" t="s">
        <v>161</v>
      </c>
      <c r="B45" s="99">
        <v>-182.8</v>
      </c>
      <c r="C45" s="99">
        <v>-35.1</v>
      </c>
      <c r="D45" s="99">
        <v>-182.5</v>
      </c>
      <c r="E45" s="99">
        <v>-21</v>
      </c>
      <c r="F45" s="99">
        <f t="shared" si="44"/>
        <v>-421.4</v>
      </c>
      <c r="G45" s="74">
        <v>-96.8</v>
      </c>
      <c r="H45" s="74">
        <v>-276.2</v>
      </c>
      <c r="I45" s="74">
        <v>-77.5</v>
      </c>
      <c r="J45" s="74">
        <v>-275.39999999999998</v>
      </c>
      <c r="K45" s="74">
        <v>-725.9</v>
      </c>
      <c r="L45" s="74">
        <v>-108.5</v>
      </c>
      <c r="M45" s="74">
        <v>-35.5</v>
      </c>
      <c r="N45" s="74">
        <v>-80.7</v>
      </c>
      <c r="O45" s="74">
        <v>-53.6</v>
      </c>
      <c r="P45" s="74">
        <v>-278.3</v>
      </c>
      <c r="Q45" s="26">
        <v>-152</v>
      </c>
      <c r="R45" s="26">
        <v>-354.9</v>
      </c>
      <c r="S45" s="26">
        <v>-34.4</v>
      </c>
      <c r="T45" s="26">
        <v>-595.20000000000005</v>
      </c>
      <c r="U45" s="26">
        <v>-1136.5</v>
      </c>
      <c r="V45" s="26">
        <v>-175.5</v>
      </c>
      <c r="W45" s="26">
        <v>-28.6</v>
      </c>
      <c r="X45" s="26">
        <v>-109.4</v>
      </c>
      <c r="Y45" s="26">
        <v>-53.5</v>
      </c>
      <c r="Z45" s="26">
        <f t="shared" si="45"/>
        <v>-367</v>
      </c>
      <c r="AA45" s="26">
        <v>-58</v>
      </c>
      <c r="AB45" s="26">
        <v>-88.1</v>
      </c>
      <c r="AC45" s="26">
        <v>-33.200000000000003</v>
      </c>
      <c r="AD45" s="26">
        <v>-125.70000000000002</v>
      </c>
      <c r="AE45" s="26">
        <v>-305</v>
      </c>
      <c r="AF45" s="26">
        <v>-55.9</v>
      </c>
      <c r="AG45" s="26">
        <f>-85.7+21.5</f>
        <v>-64.2</v>
      </c>
      <c r="AH45" s="26">
        <v>-33.200000000000003</v>
      </c>
      <c r="AI45" s="145">
        <f t="shared" si="46"/>
        <v>-28.799999999999976</v>
      </c>
      <c r="AJ45" s="145">
        <v>-182.1</v>
      </c>
      <c r="AK45" s="145">
        <v>-91.2</v>
      </c>
      <c r="AL45" s="153">
        <v>-56</v>
      </c>
      <c r="AM45" s="153">
        <v>-121.8</v>
      </c>
      <c r="AN45" s="145">
        <v>-320.7</v>
      </c>
      <c r="AO45" s="145">
        <f t="shared" si="47"/>
        <v>-589.70000000000005</v>
      </c>
      <c r="AP45" s="145">
        <v>-74.2</v>
      </c>
      <c r="AQ45" s="153">
        <v>-14.8</v>
      </c>
      <c r="AR45" s="145">
        <v>-15.1</v>
      </c>
      <c r="AS45" s="145">
        <f>AT45-SUM(AP45:AR45)</f>
        <v>-14.5</v>
      </c>
      <c r="AT45" s="145">
        <v>-118.6</v>
      </c>
      <c r="AU45" s="145">
        <v>-15</v>
      </c>
      <c r="AV45" s="170">
        <v>-14.8</v>
      </c>
    </row>
    <row r="46" spans="1:48" s="54" customFormat="1" ht="13.5" customHeight="1" x14ac:dyDescent="0.2">
      <c r="A46" s="92" t="s">
        <v>197</v>
      </c>
      <c r="B46" s="99"/>
      <c r="C46" s="99"/>
      <c r="D46" s="99"/>
      <c r="E46" s="99"/>
      <c r="F46" s="99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26"/>
      <c r="R46" s="26"/>
      <c r="S46" s="26"/>
      <c r="T46" s="26"/>
      <c r="U46" s="26"/>
      <c r="V46" s="26"/>
      <c r="W46" s="26"/>
      <c r="X46" s="26"/>
      <c r="Y46" s="26"/>
      <c r="Z46" s="26">
        <v>0</v>
      </c>
      <c r="AA46" s="26">
        <v>0</v>
      </c>
      <c r="AB46" s="26">
        <v>0</v>
      </c>
      <c r="AC46" s="26">
        <v>0</v>
      </c>
      <c r="AD46" s="26">
        <v>0</v>
      </c>
      <c r="AE46" s="26">
        <v>0</v>
      </c>
      <c r="AF46" s="26">
        <v>0</v>
      </c>
      <c r="AG46" s="26">
        <v>-21.5</v>
      </c>
      <c r="AH46" s="26">
        <v>0</v>
      </c>
      <c r="AI46" s="26">
        <f t="shared" si="46"/>
        <v>-31.200000000000003</v>
      </c>
      <c r="AJ46" s="26">
        <v>-52.7</v>
      </c>
      <c r="AK46" s="26">
        <v>0</v>
      </c>
      <c r="AL46" s="27">
        <v>-31.8</v>
      </c>
      <c r="AM46" s="27">
        <v>-9.4</v>
      </c>
      <c r="AN46" s="26">
        <v>0</v>
      </c>
      <c r="AO46" s="145">
        <f t="shared" si="47"/>
        <v>-41.2</v>
      </c>
      <c r="AP46" s="26">
        <v>-35.1</v>
      </c>
      <c r="AQ46" s="27">
        <v>0</v>
      </c>
      <c r="AR46" s="26">
        <v>0</v>
      </c>
      <c r="AS46" s="145">
        <f>AT46-SUM(AP46:AR46)</f>
        <v>-156.80000000000001</v>
      </c>
      <c r="AT46" s="145">
        <v>-191.9</v>
      </c>
      <c r="AU46" s="145">
        <v>0</v>
      </c>
      <c r="AV46" s="170">
        <v>0</v>
      </c>
    </row>
    <row r="47" spans="1:48" s="54" customFormat="1" ht="13.5" customHeight="1" x14ac:dyDescent="0.25">
      <c r="A47" s="92" t="s">
        <v>162</v>
      </c>
      <c r="B47" s="99">
        <v>0</v>
      </c>
      <c r="C47" s="99">
        <v>0</v>
      </c>
      <c r="D47" s="99">
        <v>0</v>
      </c>
      <c r="E47" s="99">
        <v>0</v>
      </c>
      <c r="F47" s="99">
        <f t="shared" si="44"/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-2.6</v>
      </c>
      <c r="R47" s="26">
        <v>-2.5</v>
      </c>
      <c r="S47" s="26">
        <v>-2.6</v>
      </c>
      <c r="T47" s="26">
        <v>-2.6</v>
      </c>
      <c r="U47" s="26">
        <v>-10.3</v>
      </c>
      <c r="V47" s="26">
        <v>-1.4</v>
      </c>
      <c r="W47" s="26">
        <v>-1.5</v>
      </c>
      <c r="X47" s="26">
        <v>-1.6</v>
      </c>
      <c r="Y47" s="26">
        <v>-1.4</v>
      </c>
      <c r="Z47" s="26">
        <f t="shared" si="45"/>
        <v>-5.9</v>
      </c>
      <c r="AA47" s="26">
        <v>-1.6</v>
      </c>
      <c r="AB47" s="26">
        <v>-1.7</v>
      </c>
      <c r="AC47" s="26">
        <f>-1.6-6.8</f>
        <v>-8.4</v>
      </c>
      <c r="AD47" s="26">
        <v>-1.6999999999999997</v>
      </c>
      <c r="AE47" s="26">
        <v>-13.4</v>
      </c>
      <c r="AF47" s="26">
        <v>-1.6</v>
      </c>
      <c r="AG47" s="26">
        <v>-1.7</v>
      </c>
      <c r="AH47" s="26">
        <v>-1.9</v>
      </c>
      <c r="AI47" s="145">
        <f t="shared" si="46"/>
        <v>-2.0000000000000004</v>
      </c>
      <c r="AJ47" s="145">
        <v>-7.2</v>
      </c>
      <c r="AK47" s="145">
        <v>-1.6</v>
      </c>
      <c r="AL47" s="153">
        <v>-1.5</v>
      </c>
      <c r="AM47" s="153">
        <v>-1.6</v>
      </c>
      <c r="AN47" s="145">
        <v>-1.6</v>
      </c>
      <c r="AO47" s="145">
        <f t="shared" si="47"/>
        <v>-6.3000000000000007</v>
      </c>
      <c r="AP47" s="145">
        <v>-1.5</v>
      </c>
      <c r="AQ47" s="153">
        <v>-1.7</v>
      </c>
      <c r="AR47" s="145">
        <v>-1.5</v>
      </c>
      <c r="AS47" s="145">
        <f>AT47-SUM(AP47:AR47)</f>
        <v>-1.7000000000000002</v>
      </c>
      <c r="AT47" s="145">
        <v>-6.4</v>
      </c>
      <c r="AU47" s="145">
        <v>-1.4</v>
      </c>
      <c r="AV47" s="170">
        <v>-1.5</v>
      </c>
    </row>
    <row r="48" spans="1:48" ht="13.5" customHeight="1" x14ac:dyDescent="0.25">
      <c r="A48" s="92" t="s">
        <v>163</v>
      </c>
      <c r="B48" s="99">
        <v>0</v>
      </c>
      <c r="C48" s="99">
        <v>0</v>
      </c>
      <c r="D48" s="99">
        <v>0</v>
      </c>
      <c r="E48" s="99">
        <v>0</v>
      </c>
      <c r="F48" s="99">
        <f t="shared" si="44"/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0</v>
      </c>
      <c r="U48" s="26">
        <v>0</v>
      </c>
      <c r="V48" s="26">
        <v>0</v>
      </c>
      <c r="W48" s="26">
        <v>-6.1</v>
      </c>
      <c r="X48" s="26">
        <v>-6.1</v>
      </c>
      <c r="Y48" s="26">
        <v>-6.4</v>
      </c>
      <c r="Z48" s="26">
        <f t="shared" si="45"/>
        <v>-18.600000000000001</v>
      </c>
      <c r="AA48" s="26">
        <v>-6.3</v>
      </c>
      <c r="AB48" s="26">
        <v>-6.3</v>
      </c>
      <c r="AC48" s="26">
        <v>-6.3</v>
      </c>
      <c r="AD48" s="26">
        <v>-6.3999999999999995</v>
      </c>
      <c r="AE48" s="26">
        <v>-25.3</v>
      </c>
      <c r="AF48" s="26">
        <v>-6.3</v>
      </c>
      <c r="AG48" s="26">
        <v>-6.4</v>
      </c>
      <c r="AH48" s="26">
        <v>-6.3</v>
      </c>
      <c r="AI48" s="145">
        <f t="shared" si="46"/>
        <v>-6.3</v>
      </c>
      <c r="AJ48" s="145">
        <v>-25.3</v>
      </c>
      <c r="AK48" s="145">
        <v>-6.3</v>
      </c>
      <c r="AL48" s="153">
        <v>-6.4</v>
      </c>
      <c r="AM48" s="153">
        <v>-6.3</v>
      </c>
      <c r="AN48" s="145">
        <v>-6.3</v>
      </c>
      <c r="AO48" s="145">
        <f t="shared" si="47"/>
        <v>-25.3</v>
      </c>
      <c r="AP48" s="145">
        <v>-15.9</v>
      </c>
      <c r="AQ48" s="153">
        <v>-11.3</v>
      </c>
      <c r="AR48" s="145">
        <v>-11.3</v>
      </c>
      <c r="AS48" s="145">
        <f>AT48-SUM(AP48:AR48)</f>
        <v>-11.299999999999997</v>
      </c>
      <c r="AT48" s="145">
        <v>-49.8</v>
      </c>
      <c r="AU48" s="145">
        <v>-25.3</v>
      </c>
      <c r="AV48" s="170">
        <v>-11.3</v>
      </c>
    </row>
    <row r="49" spans="1:48" ht="13.5" customHeight="1" x14ac:dyDescent="0.25">
      <c r="A49" s="102" t="s">
        <v>164</v>
      </c>
      <c r="B49" s="105">
        <f t="shared" ref="B49:AC49" si="48">SUM(B38:B48)</f>
        <v>-45.200000000000017</v>
      </c>
      <c r="C49" s="105">
        <f t="shared" si="48"/>
        <v>42.199999999999996</v>
      </c>
      <c r="D49" s="105">
        <f t="shared" si="48"/>
        <v>9.1999999999999886</v>
      </c>
      <c r="E49" s="105">
        <f t="shared" si="48"/>
        <v>-8.8999999999999986</v>
      </c>
      <c r="F49" s="105">
        <f t="shared" si="48"/>
        <v>-2.6999999999999318</v>
      </c>
      <c r="G49" s="21">
        <f t="shared" si="48"/>
        <v>-19.299999999999997</v>
      </c>
      <c r="H49" s="21">
        <f t="shared" si="48"/>
        <v>-219.1</v>
      </c>
      <c r="I49" s="21">
        <f t="shared" si="48"/>
        <v>79</v>
      </c>
      <c r="J49" s="21">
        <f t="shared" si="48"/>
        <v>15.100000000000023</v>
      </c>
      <c r="K49" s="21">
        <f t="shared" si="48"/>
        <v>-144.29999999999995</v>
      </c>
      <c r="L49" s="21">
        <f t="shared" si="48"/>
        <v>-75</v>
      </c>
      <c r="M49" s="21">
        <f t="shared" si="48"/>
        <v>-23.4</v>
      </c>
      <c r="N49" s="21">
        <f t="shared" si="48"/>
        <v>7.9999999999999858</v>
      </c>
      <c r="O49" s="21">
        <f t="shared" si="48"/>
        <v>5.8999999999999986</v>
      </c>
      <c r="P49" s="21">
        <f t="shared" si="48"/>
        <v>-84.5</v>
      </c>
      <c r="Q49" s="21">
        <f t="shared" si="48"/>
        <v>-78.099999999999994</v>
      </c>
      <c r="R49" s="21">
        <f t="shared" si="48"/>
        <v>-53.599999999999966</v>
      </c>
      <c r="S49" s="21">
        <f t="shared" si="48"/>
        <v>-65.099999999999994</v>
      </c>
      <c r="T49" s="21">
        <f t="shared" si="48"/>
        <v>-78.700000000000017</v>
      </c>
      <c r="U49" s="21">
        <f t="shared" si="48"/>
        <v>-275.49999999999994</v>
      </c>
      <c r="V49" s="21">
        <f t="shared" si="48"/>
        <v>-57.70000000000001</v>
      </c>
      <c r="W49" s="21">
        <f t="shared" si="48"/>
        <v>-69.599999999999994</v>
      </c>
      <c r="X49" s="21">
        <f t="shared" si="48"/>
        <v>-136.1</v>
      </c>
      <c r="Y49" s="21">
        <f t="shared" si="48"/>
        <v>-84.9</v>
      </c>
      <c r="Z49" s="21">
        <f t="shared" si="48"/>
        <v>-348.3</v>
      </c>
      <c r="AA49" s="21">
        <f t="shared" si="48"/>
        <v>85.2</v>
      </c>
      <c r="AB49" s="21">
        <f t="shared" si="48"/>
        <v>-115.69999999999999</v>
      </c>
      <c r="AC49" s="21">
        <f t="shared" si="48"/>
        <v>-43.6</v>
      </c>
      <c r="AD49" s="26">
        <v>21.500000000000014</v>
      </c>
      <c r="AE49" s="21">
        <f t="shared" ref="AE49:AR49" si="49">SUM(AE38:AE48)</f>
        <v>-52.59999999999998</v>
      </c>
      <c r="AF49" s="140">
        <f t="shared" si="49"/>
        <v>3.6000000000000076</v>
      </c>
      <c r="AG49" s="140">
        <f t="shared" si="49"/>
        <v>-7.3000000000000034</v>
      </c>
      <c r="AH49" s="140">
        <f t="shared" si="49"/>
        <v>63.039999999999992</v>
      </c>
      <c r="AI49" s="138">
        <f t="shared" si="49"/>
        <v>-51.739999999999988</v>
      </c>
      <c r="AJ49" s="138">
        <f t="shared" si="49"/>
        <v>7.5999999999999766</v>
      </c>
      <c r="AK49" s="138">
        <f t="shared" si="49"/>
        <v>13.399999999999995</v>
      </c>
      <c r="AL49" s="156">
        <f t="shared" si="49"/>
        <v>46.099999999999987</v>
      </c>
      <c r="AM49" s="156">
        <f t="shared" si="49"/>
        <v>84.300000000000011</v>
      </c>
      <c r="AN49" s="138">
        <f t="shared" si="49"/>
        <v>75.100000000000009</v>
      </c>
      <c r="AO49" s="138">
        <f t="shared" si="49"/>
        <v>218.89999999999992</v>
      </c>
      <c r="AP49" s="138">
        <f t="shared" si="49"/>
        <v>-132.80000000000001</v>
      </c>
      <c r="AQ49" s="156">
        <f t="shared" si="49"/>
        <v>21.499999999999996</v>
      </c>
      <c r="AR49" s="138">
        <f t="shared" si="49"/>
        <v>-10.6</v>
      </c>
      <c r="AS49" s="138">
        <f t="shared" ref="AS49" si="50">SUM(AS38:AS48)</f>
        <v>-124.2</v>
      </c>
      <c r="AT49" s="138">
        <v>-246.10000000000002</v>
      </c>
      <c r="AU49" s="138">
        <f>SUM(AU38:AU48)</f>
        <v>14.8</v>
      </c>
      <c r="AV49" s="139">
        <f>SUM(AV38:AV48)</f>
        <v>-11.8</v>
      </c>
    </row>
    <row r="50" spans="1:48" ht="13.5" customHeight="1" x14ac:dyDescent="0.25">
      <c r="A50" s="106"/>
      <c r="B50" s="89"/>
      <c r="C50" s="89"/>
      <c r="D50" s="89"/>
      <c r="E50" s="89"/>
      <c r="F50" s="89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141"/>
      <c r="AG50" s="141"/>
      <c r="AH50" s="141"/>
      <c r="AI50" s="141"/>
      <c r="AJ50" s="141"/>
      <c r="AK50" s="141"/>
      <c r="AL50" s="157"/>
      <c r="AM50" s="157"/>
      <c r="AN50" s="141"/>
      <c r="AO50" s="141"/>
      <c r="AP50" s="141"/>
      <c r="AQ50" s="157"/>
      <c r="AR50" s="141"/>
      <c r="AS50" s="141"/>
      <c r="AT50" s="141"/>
      <c r="AU50" s="141"/>
      <c r="AV50" s="173"/>
    </row>
    <row r="51" spans="1:48" ht="13.5" customHeight="1" x14ac:dyDescent="0.25">
      <c r="A51" s="107" t="s">
        <v>165</v>
      </c>
      <c r="B51" s="104">
        <f t="shared" ref="B51:AR51" si="51">+B49+B36+B24</f>
        <v>-22.900000000000048</v>
      </c>
      <c r="C51" s="104">
        <f t="shared" si="51"/>
        <v>21.699999999999989</v>
      </c>
      <c r="D51" s="104">
        <f t="shared" si="51"/>
        <v>-40.200000000000003</v>
      </c>
      <c r="E51" s="104">
        <f t="shared" si="51"/>
        <v>-17.600000000000009</v>
      </c>
      <c r="F51" s="104">
        <f t="shared" si="51"/>
        <v>-59</v>
      </c>
      <c r="G51" s="33">
        <f t="shared" si="51"/>
        <v>329.5</v>
      </c>
      <c r="H51" s="33">
        <f t="shared" si="51"/>
        <v>-230.09999999999997</v>
      </c>
      <c r="I51" s="33">
        <f t="shared" si="51"/>
        <v>-0.4000000000000199</v>
      </c>
      <c r="J51" s="33">
        <f t="shared" si="51"/>
        <v>-3.0999999999999801</v>
      </c>
      <c r="K51" s="33">
        <f t="shared" si="51"/>
        <v>38.600000000000136</v>
      </c>
      <c r="L51" s="33">
        <f t="shared" si="51"/>
        <v>17.199999999999989</v>
      </c>
      <c r="M51" s="33">
        <f t="shared" si="51"/>
        <v>-17.700000000000017</v>
      </c>
      <c r="N51" s="33">
        <f t="shared" si="51"/>
        <v>0.39999999999996305</v>
      </c>
      <c r="O51" s="33">
        <f t="shared" si="51"/>
        <v>-3.3000000000000256</v>
      </c>
      <c r="P51" s="33">
        <f t="shared" si="51"/>
        <v>-3.4000000000000909</v>
      </c>
      <c r="Q51" s="33">
        <f t="shared" si="51"/>
        <v>34.900000000000006</v>
      </c>
      <c r="R51" s="33">
        <f t="shared" si="51"/>
        <v>88.200000000000045</v>
      </c>
      <c r="S51" s="33">
        <f t="shared" si="51"/>
        <v>-5.7000000000000171</v>
      </c>
      <c r="T51" s="33">
        <f t="shared" si="51"/>
        <v>-9.3000000000000398</v>
      </c>
      <c r="U51" s="33">
        <f t="shared" si="51"/>
        <v>108.10000000000002</v>
      </c>
      <c r="V51" s="33">
        <f t="shared" si="51"/>
        <v>-78.400000000000006</v>
      </c>
      <c r="W51" s="33">
        <f t="shared" si="51"/>
        <v>34.200000000000017</v>
      </c>
      <c r="X51" s="33">
        <f t="shared" si="51"/>
        <v>-64.299999999999983</v>
      </c>
      <c r="Y51" s="33">
        <f t="shared" si="51"/>
        <v>-2.1000000000000369</v>
      </c>
      <c r="Z51" s="33">
        <f t="shared" si="51"/>
        <v>-110.59999999999991</v>
      </c>
      <c r="AA51" s="33">
        <f t="shared" si="51"/>
        <v>78.399999999999991</v>
      </c>
      <c r="AB51" s="33">
        <f t="shared" si="51"/>
        <v>-1.7999999999999829</v>
      </c>
      <c r="AC51" s="33">
        <f t="shared" si="51"/>
        <v>37.000000000000028</v>
      </c>
      <c r="AD51" s="33">
        <f t="shared" si="51"/>
        <v>30.799999999999997</v>
      </c>
      <c r="AE51" s="33">
        <f t="shared" si="51"/>
        <v>134.60000000000014</v>
      </c>
      <c r="AF51" s="138">
        <f t="shared" si="51"/>
        <v>-6.6999999999999886</v>
      </c>
      <c r="AG51" s="138">
        <f t="shared" si="51"/>
        <v>-20.800000000000011</v>
      </c>
      <c r="AH51" s="138">
        <f t="shared" si="51"/>
        <v>33.439999999999941</v>
      </c>
      <c r="AI51" s="138">
        <f t="shared" si="51"/>
        <v>-49.840000000000032</v>
      </c>
      <c r="AJ51" s="138">
        <f t="shared" si="51"/>
        <v>-43.899999999999977</v>
      </c>
      <c r="AK51" s="138">
        <f t="shared" si="51"/>
        <v>59.09999999999998</v>
      </c>
      <c r="AL51" s="156">
        <f t="shared" si="51"/>
        <v>-65.300000000000026</v>
      </c>
      <c r="AM51" s="156">
        <f t="shared" si="51"/>
        <v>22.299999999999983</v>
      </c>
      <c r="AN51" s="138">
        <f t="shared" si="51"/>
        <v>114.60000000000001</v>
      </c>
      <c r="AO51" s="138">
        <f t="shared" si="51"/>
        <v>130.7000000000001</v>
      </c>
      <c r="AP51" s="138">
        <f t="shared" si="51"/>
        <v>40.400000000000034</v>
      </c>
      <c r="AQ51" s="156">
        <f t="shared" si="51"/>
        <v>46.599999999999994</v>
      </c>
      <c r="AR51" s="138">
        <f t="shared" si="51"/>
        <v>-1.6999999999999886</v>
      </c>
      <c r="AS51" s="138">
        <f t="shared" ref="AS51" si="52">+AS49+AS36+AS24</f>
        <v>-140.39999999999995</v>
      </c>
      <c r="AT51" s="138">
        <v>-55.2</v>
      </c>
      <c r="AU51" s="138">
        <f>AU24+AU36+AU49</f>
        <v>102.8</v>
      </c>
      <c r="AV51" s="139">
        <v>19.7</v>
      </c>
    </row>
    <row r="52" spans="1:48" ht="13.5" customHeight="1" x14ac:dyDescent="0.25">
      <c r="A52" s="106"/>
      <c r="B52" s="88"/>
      <c r="C52" s="88"/>
      <c r="D52" s="88"/>
      <c r="E52" s="88"/>
      <c r="F52" s="88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137"/>
      <c r="AG52" s="137"/>
      <c r="AH52" s="137"/>
      <c r="AI52" s="137"/>
      <c r="AJ52" s="137"/>
      <c r="AK52" s="137"/>
      <c r="AL52" s="155"/>
      <c r="AM52" s="155"/>
      <c r="AN52" s="137"/>
      <c r="AO52" s="137"/>
      <c r="AP52" s="137"/>
      <c r="AQ52" s="155"/>
      <c r="AR52" s="137"/>
      <c r="AS52" s="137"/>
      <c r="AT52" s="137"/>
      <c r="AU52" s="137"/>
      <c r="AV52" s="172"/>
    </row>
    <row r="53" spans="1:48" ht="13.5" customHeight="1" x14ac:dyDescent="0.25">
      <c r="A53" s="92" t="s">
        <v>166</v>
      </c>
      <c r="B53" s="90">
        <v>121.8</v>
      </c>
      <c r="C53" s="90">
        <f>+B54</f>
        <v>98.899999999999949</v>
      </c>
      <c r="D53" s="90">
        <f t="shared" ref="D53:E53" si="53">+C54</f>
        <v>120.59999999999994</v>
      </c>
      <c r="E53" s="90">
        <f t="shared" si="53"/>
        <v>80.399999999999935</v>
      </c>
      <c r="F53" s="90">
        <v>121.8</v>
      </c>
      <c r="G53" s="71">
        <v>106.9</v>
      </c>
      <c r="H53" s="71">
        <v>379.1</v>
      </c>
      <c r="I53" s="71">
        <v>149</v>
      </c>
      <c r="J53" s="71">
        <v>148.6</v>
      </c>
      <c r="K53" s="71">
        <v>106.9</v>
      </c>
      <c r="L53" s="71">
        <v>145.5</v>
      </c>
      <c r="M53" s="71">
        <v>162.69999999999999</v>
      </c>
      <c r="N53" s="71">
        <v>145</v>
      </c>
      <c r="O53" s="71">
        <v>145.4</v>
      </c>
      <c r="P53" s="71">
        <v>145.5</v>
      </c>
      <c r="Q53" s="71">
        <v>142.1</v>
      </c>
      <c r="R53" s="71">
        <v>177</v>
      </c>
      <c r="S53" s="71">
        <v>265.2</v>
      </c>
      <c r="T53" s="71">
        <v>259.5</v>
      </c>
      <c r="U53" s="71">
        <v>142.1</v>
      </c>
      <c r="V53" s="71">
        <v>250.2</v>
      </c>
      <c r="W53" s="71">
        <f>+V54</f>
        <v>171.79999999999998</v>
      </c>
      <c r="X53" s="71">
        <v>206</v>
      </c>
      <c r="Y53" s="71">
        <v>141.69999999999999</v>
      </c>
      <c r="Z53" s="71">
        <v>250.2</v>
      </c>
      <c r="AA53" s="71">
        <v>139.6</v>
      </c>
      <c r="AB53" s="71">
        <f>+AA54</f>
        <v>218</v>
      </c>
      <c r="AC53" s="71">
        <f>+AB54</f>
        <v>216.20000000000002</v>
      </c>
      <c r="AD53" s="71">
        <f>+AC54</f>
        <v>253.20000000000005</v>
      </c>
      <c r="AE53" s="71">
        <f>+Z54</f>
        <v>139.60000000000008</v>
      </c>
      <c r="AF53" s="142">
        <f>+AE54</f>
        <v>274.20000000000022</v>
      </c>
      <c r="AG53" s="142">
        <f>+AF54</f>
        <v>267.50000000000023</v>
      </c>
      <c r="AH53" s="142">
        <f>+AG54</f>
        <v>246.70000000000022</v>
      </c>
      <c r="AI53" s="142">
        <f>AH54</f>
        <v>280.14000000000016</v>
      </c>
      <c r="AJ53" s="142">
        <f>AE54</f>
        <v>274.20000000000022</v>
      </c>
      <c r="AK53" s="142">
        <f>AJ54</f>
        <v>230.30000000000024</v>
      </c>
      <c r="AL53" s="158">
        <f>AK54</f>
        <v>289.4000000000002</v>
      </c>
      <c r="AM53" s="158">
        <v>224.1</v>
      </c>
      <c r="AN53" s="142">
        <v>246.4</v>
      </c>
      <c r="AO53" s="142">
        <v>230.3</v>
      </c>
      <c r="AP53" s="142">
        <v>361</v>
      </c>
      <c r="AQ53" s="158">
        <f>AP54</f>
        <v>401.40000000000003</v>
      </c>
      <c r="AR53" s="142">
        <f>AQ54</f>
        <v>448</v>
      </c>
      <c r="AS53" s="142">
        <f>AR54</f>
        <v>446.3</v>
      </c>
      <c r="AT53" s="142">
        <v>361</v>
      </c>
      <c r="AU53" s="142">
        <v>305.8</v>
      </c>
      <c r="AV53" s="174">
        <f>AU54</f>
        <v>408.6</v>
      </c>
    </row>
    <row r="54" spans="1:48" ht="13.5" customHeight="1" x14ac:dyDescent="0.25">
      <c r="A54" s="102" t="s">
        <v>167</v>
      </c>
      <c r="B54" s="104">
        <f t="shared" ref="B54:D54" si="54">SUM(B51:B53)</f>
        <v>98.899999999999949</v>
      </c>
      <c r="C54" s="104">
        <f t="shared" si="54"/>
        <v>120.59999999999994</v>
      </c>
      <c r="D54" s="104">
        <f t="shared" si="54"/>
        <v>80.399999999999935</v>
      </c>
      <c r="E54" s="104">
        <f t="shared" ref="E54:AC54" si="55">SUM(E51:E53)</f>
        <v>62.799999999999926</v>
      </c>
      <c r="F54" s="104">
        <f t="shared" si="55"/>
        <v>62.8</v>
      </c>
      <c r="G54" s="33">
        <f t="shared" si="55"/>
        <v>436.4</v>
      </c>
      <c r="H54" s="33">
        <f t="shared" si="55"/>
        <v>149.00000000000006</v>
      </c>
      <c r="I54" s="33">
        <f t="shared" si="55"/>
        <v>148.59999999999997</v>
      </c>
      <c r="J54" s="33">
        <f t="shared" si="55"/>
        <v>145.5</v>
      </c>
      <c r="K54" s="33">
        <f t="shared" si="55"/>
        <v>145.50000000000014</v>
      </c>
      <c r="L54" s="33">
        <f t="shared" si="55"/>
        <v>162.69999999999999</v>
      </c>
      <c r="M54" s="33">
        <f t="shared" si="55"/>
        <v>144.99999999999997</v>
      </c>
      <c r="N54" s="33">
        <f t="shared" si="55"/>
        <v>145.39999999999998</v>
      </c>
      <c r="O54" s="33">
        <f t="shared" si="55"/>
        <v>142.09999999999997</v>
      </c>
      <c r="P54" s="33">
        <f t="shared" si="55"/>
        <v>142.09999999999991</v>
      </c>
      <c r="Q54" s="33">
        <f t="shared" si="55"/>
        <v>177</v>
      </c>
      <c r="R54" s="33">
        <f t="shared" si="55"/>
        <v>265.20000000000005</v>
      </c>
      <c r="S54" s="33">
        <f t="shared" si="55"/>
        <v>259.5</v>
      </c>
      <c r="T54" s="33">
        <f t="shared" si="55"/>
        <v>250.19999999999996</v>
      </c>
      <c r="U54" s="33">
        <f t="shared" si="55"/>
        <v>250.20000000000002</v>
      </c>
      <c r="V54" s="33">
        <f t="shared" si="55"/>
        <v>171.79999999999998</v>
      </c>
      <c r="W54" s="33">
        <f t="shared" si="55"/>
        <v>206</v>
      </c>
      <c r="X54" s="33">
        <f t="shared" si="55"/>
        <v>141.70000000000002</v>
      </c>
      <c r="Y54" s="33">
        <f t="shared" si="55"/>
        <v>139.59999999999997</v>
      </c>
      <c r="Z54" s="33">
        <f t="shared" si="55"/>
        <v>139.60000000000008</v>
      </c>
      <c r="AA54" s="33">
        <f t="shared" si="55"/>
        <v>218</v>
      </c>
      <c r="AB54" s="33">
        <f t="shared" si="55"/>
        <v>216.20000000000002</v>
      </c>
      <c r="AC54" s="33">
        <f t="shared" si="55"/>
        <v>253.20000000000005</v>
      </c>
      <c r="AD54" s="33">
        <f t="shared" ref="AD54:AE54" si="56">SUM(AD51:AD53)</f>
        <v>284.00000000000006</v>
      </c>
      <c r="AE54" s="33">
        <f t="shared" si="56"/>
        <v>274.20000000000022</v>
      </c>
      <c r="AF54" s="138">
        <f t="shared" ref="AF54:AG54" si="57">SUM(AF51:AF53)</f>
        <v>267.50000000000023</v>
      </c>
      <c r="AG54" s="138">
        <f t="shared" si="57"/>
        <v>246.70000000000022</v>
      </c>
      <c r="AH54" s="138">
        <f t="shared" ref="AH54:AJ54" si="58">SUM(AH51:AH53)</f>
        <v>280.14000000000016</v>
      </c>
      <c r="AI54" s="138">
        <f>SUM(AI51:AI53)</f>
        <v>230.30000000000013</v>
      </c>
      <c r="AJ54" s="138">
        <f t="shared" si="58"/>
        <v>230.30000000000024</v>
      </c>
      <c r="AK54" s="138">
        <f t="shared" ref="AK54:AL54" si="59">SUM(AK51:AK53)</f>
        <v>289.4000000000002</v>
      </c>
      <c r="AL54" s="156">
        <f t="shared" si="59"/>
        <v>224.10000000000019</v>
      </c>
      <c r="AM54" s="156">
        <f t="shared" ref="AM54:AN54" si="60">SUM(AM51:AM53)</f>
        <v>246.39999999999998</v>
      </c>
      <c r="AN54" s="138">
        <f t="shared" si="60"/>
        <v>361</v>
      </c>
      <c r="AO54" s="138">
        <f t="shared" ref="AO54:AQ54" si="61">SUM(AO51:AO53)</f>
        <v>361.00000000000011</v>
      </c>
      <c r="AP54" s="138">
        <f t="shared" si="61"/>
        <v>401.40000000000003</v>
      </c>
      <c r="AQ54" s="156">
        <f t="shared" si="61"/>
        <v>448</v>
      </c>
      <c r="AR54" s="138">
        <f t="shared" ref="AR54" si="62">SUM(AR51:AR53)</f>
        <v>446.3</v>
      </c>
      <c r="AS54" s="138">
        <f t="shared" ref="AS54" si="63">SUM(AS51:AS53)</f>
        <v>305.90000000000009</v>
      </c>
      <c r="AT54" s="138">
        <v>305.8</v>
      </c>
      <c r="AU54" s="138">
        <f>AU51+AU53</f>
        <v>408.6</v>
      </c>
      <c r="AV54" s="139">
        <f>AV51+AV53</f>
        <v>428.3</v>
      </c>
    </row>
    <row r="55" spans="1:48" ht="13.5" customHeight="1" x14ac:dyDescent="0.25">
      <c r="O55" s="55"/>
      <c r="P55" s="55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</row>
    <row r="56" spans="1:48" ht="13.5" customHeight="1" x14ac:dyDescent="0.25"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</row>
    <row r="57" spans="1:48" ht="13.5" customHeight="1" x14ac:dyDescent="0.25"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</row>
  </sheetData>
  <pageMargins left="0.7" right="0.7" top="0.75" bottom="0.75" header="0.3" footer="0.3"/>
  <pageSetup paperSize="9" scale="72" orientation="landscape" r:id="rId1"/>
  <ignoredErrors>
    <ignoredError sqref="AO3:AO13 AO15:AO20" formulaRange="1"/>
    <ignoredError sqref="AO21 AI21 AS21" formula="1"/>
    <ignoredError sqref="AO22:AO23 AO40:AO48 AO25:AO39" formula="1" formulaRange="1"/>
    <ignoredError sqref="AO24" formula="1" formulaRange="1" unlockedFormula="1"/>
    <ignoredError sqref="AA24:AN24 AA53:AD53 AK53:AL53 AF53:AI53 AP24 AR53:AS53 AR24:AS24" unlockedFormula="1"/>
    <ignoredError sqref="AJ53" formula="1" unlocked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  <pageSetUpPr fitToPage="1"/>
  </sheetPr>
  <dimension ref="A2:AV19"/>
  <sheetViews>
    <sheetView showGridLines="0" zoomScaleNormal="100" workbookViewId="0">
      <selection activeCell="AQ7" sqref="AQ7"/>
    </sheetView>
  </sheetViews>
  <sheetFormatPr defaultColWidth="8.85546875" defaultRowHeight="13.5" customHeight="1" x14ac:dyDescent="0.25"/>
  <cols>
    <col min="1" max="1" width="36.42578125" style="40" bestFit="1" customWidth="1"/>
    <col min="2" max="36" width="10.85546875" style="40" hidden="1" customWidth="1"/>
    <col min="37" max="48" width="10.85546875" style="40" customWidth="1"/>
    <col min="49" max="16384" width="8.85546875" style="40"/>
  </cols>
  <sheetData>
    <row r="2" spans="1:48" ht="13.5" customHeight="1" x14ac:dyDescent="0.25">
      <c r="A2" s="98"/>
      <c r="B2" s="94" t="s">
        <v>0</v>
      </c>
      <c r="C2" s="94" t="s">
        <v>1</v>
      </c>
      <c r="D2" s="94" t="s">
        <v>2</v>
      </c>
      <c r="E2" s="94" t="s">
        <v>3</v>
      </c>
      <c r="F2" s="94" t="s">
        <v>4</v>
      </c>
      <c r="G2" s="94" t="s">
        <v>110</v>
      </c>
      <c r="H2" s="94" t="s">
        <v>111</v>
      </c>
      <c r="I2" s="94" t="s">
        <v>112</v>
      </c>
      <c r="J2" s="94" t="s">
        <v>113</v>
      </c>
      <c r="K2" s="94" t="s">
        <v>114</v>
      </c>
      <c r="L2" s="94" t="s">
        <v>115</v>
      </c>
      <c r="M2" s="94" t="s">
        <v>116</v>
      </c>
      <c r="N2" s="96" t="s">
        <v>117</v>
      </c>
      <c r="O2" s="96" t="s">
        <v>118</v>
      </c>
      <c r="P2" s="96" t="s">
        <v>119</v>
      </c>
      <c r="Q2" s="96" t="s">
        <v>120</v>
      </c>
      <c r="R2" s="96" t="s">
        <v>121</v>
      </c>
      <c r="S2" s="96" t="s">
        <v>122</v>
      </c>
      <c r="T2" s="96" t="s">
        <v>123</v>
      </c>
      <c r="U2" s="96" t="s">
        <v>124</v>
      </c>
      <c r="V2" s="96" t="s">
        <v>20</v>
      </c>
      <c r="W2" s="96" t="s">
        <v>21</v>
      </c>
      <c r="X2" s="96" t="s">
        <v>22</v>
      </c>
      <c r="Y2" s="96" t="s">
        <v>23</v>
      </c>
      <c r="Z2" s="96" t="s">
        <v>24</v>
      </c>
      <c r="AA2" s="96" t="s">
        <v>25</v>
      </c>
      <c r="AB2" s="96" t="s">
        <v>26</v>
      </c>
      <c r="AC2" s="96" t="s">
        <v>27</v>
      </c>
      <c r="AD2" s="96" t="s">
        <v>28</v>
      </c>
      <c r="AE2" s="96" t="s">
        <v>29</v>
      </c>
      <c r="AF2" s="96" t="s">
        <v>30</v>
      </c>
      <c r="AG2" s="96" t="s">
        <v>31</v>
      </c>
      <c r="AH2" s="96" t="s">
        <v>32</v>
      </c>
      <c r="AI2" s="96" t="s">
        <v>33</v>
      </c>
      <c r="AJ2" s="96" t="s">
        <v>34</v>
      </c>
      <c r="AK2" s="96" t="s">
        <v>198</v>
      </c>
      <c r="AL2" s="96" t="s">
        <v>199</v>
      </c>
      <c r="AM2" s="96" t="s">
        <v>200</v>
      </c>
      <c r="AN2" s="96" t="s">
        <v>201</v>
      </c>
      <c r="AO2" s="96" t="s">
        <v>202</v>
      </c>
      <c r="AP2" s="96" t="s">
        <v>207</v>
      </c>
      <c r="AQ2" s="96" t="s">
        <v>208</v>
      </c>
      <c r="AR2" s="96" t="s">
        <v>209</v>
      </c>
      <c r="AS2" s="96" t="s">
        <v>210</v>
      </c>
      <c r="AT2" s="96" t="s">
        <v>212</v>
      </c>
      <c r="AU2" s="96" t="s">
        <v>213</v>
      </c>
      <c r="AV2" s="96" t="s">
        <v>216</v>
      </c>
    </row>
    <row r="3" spans="1:48" ht="13.5" customHeight="1" x14ac:dyDescent="0.25">
      <c r="A3" s="59" t="s">
        <v>168</v>
      </c>
      <c r="B3" s="65">
        <v>0.45400000000000001</v>
      </c>
      <c r="C3" s="65">
        <v>0.49</v>
      </c>
      <c r="D3" s="65">
        <v>0.48199999999999998</v>
      </c>
      <c r="E3" s="65">
        <v>0.55200000000000005</v>
      </c>
      <c r="F3" s="65">
        <v>0.501</v>
      </c>
      <c r="G3" s="65">
        <v>0.38800000000000001</v>
      </c>
      <c r="H3" s="65">
        <v>0.72599999999999998</v>
      </c>
      <c r="I3" s="65">
        <v>0.53800000000000003</v>
      </c>
      <c r="J3" s="65">
        <v>0.48899999999999999</v>
      </c>
      <c r="K3" s="65">
        <v>0.53700000000000003</v>
      </c>
      <c r="L3" s="65">
        <v>0.56399999999999995</v>
      </c>
      <c r="M3" s="65">
        <v>0.52600000000000002</v>
      </c>
      <c r="N3" s="65">
        <v>0.56899999999999995</v>
      </c>
      <c r="O3" s="69">
        <v>0.58299999999999996</v>
      </c>
      <c r="P3" s="69">
        <v>0.56200000000000006</v>
      </c>
      <c r="Q3" s="69">
        <v>0.63</v>
      </c>
      <c r="R3" s="69">
        <v>0.67</v>
      </c>
      <c r="S3" s="69">
        <v>0.60699999999999998</v>
      </c>
      <c r="T3" s="69">
        <v>0.55800000000000005</v>
      </c>
      <c r="U3" s="69">
        <v>0.61599999999999999</v>
      </c>
      <c r="V3" s="69">
        <v>0.504</v>
      </c>
      <c r="W3" s="69">
        <v>0.55100000000000005</v>
      </c>
      <c r="X3" s="69">
        <v>0.503</v>
      </c>
      <c r="Y3" s="69">
        <v>0.41299999999999998</v>
      </c>
      <c r="Z3" s="69">
        <v>0.49199999999999999</v>
      </c>
      <c r="AA3" s="69">
        <v>0.50600000000000001</v>
      </c>
      <c r="AB3" s="69">
        <v>0.438</v>
      </c>
      <c r="AC3" s="69">
        <v>0.48599999999999999</v>
      </c>
      <c r="AD3" s="69">
        <v>0.504</v>
      </c>
      <c r="AE3" s="69">
        <v>0.48399999999999999</v>
      </c>
      <c r="AF3" s="69">
        <v>0.43801652892561982</v>
      </c>
      <c r="AG3" s="69">
        <v>0.39200000000000002</v>
      </c>
      <c r="AH3" s="69">
        <v>0.45600000000000002</v>
      </c>
      <c r="AI3" s="69">
        <v>0.49668560606060613</v>
      </c>
      <c r="AJ3" s="69">
        <v>0.44658312879472933</v>
      </c>
      <c r="AK3" s="69">
        <v>0.47499999999999998</v>
      </c>
      <c r="AL3" s="69">
        <v>0.36699999999999999</v>
      </c>
      <c r="AM3" s="69">
        <v>0.47599999999999998</v>
      </c>
      <c r="AN3" s="69">
        <v>0.53500000000000003</v>
      </c>
      <c r="AO3" s="69">
        <v>0.46300000000000002</v>
      </c>
      <c r="AP3" s="69">
        <v>0.50700000000000001</v>
      </c>
      <c r="AQ3" s="69">
        <v>0.51</v>
      </c>
      <c r="AR3" s="69">
        <v>0.55100000000000005</v>
      </c>
      <c r="AS3" s="69">
        <v>0.53100000000000003</v>
      </c>
      <c r="AT3" s="69">
        <v>0.52400000000000002</v>
      </c>
      <c r="AU3" s="69">
        <v>0.59499999999999997</v>
      </c>
      <c r="AV3" s="175">
        <v>0.44700000000000001</v>
      </c>
    </row>
    <row r="4" spans="1:48" ht="13.5" customHeight="1" x14ac:dyDescent="0.25">
      <c r="A4" s="59" t="s">
        <v>169</v>
      </c>
      <c r="B4" s="65">
        <v>0.28000000000000003</v>
      </c>
      <c r="C4" s="65">
        <v>0.27700000000000002</v>
      </c>
      <c r="D4" s="65">
        <v>0.30099999999999999</v>
      </c>
      <c r="E4" s="65">
        <v>0.27313756346684875</v>
      </c>
      <c r="F4" s="65">
        <v>0.27313756346684875</v>
      </c>
      <c r="G4" s="65">
        <v>0.27264012462179088</v>
      </c>
      <c r="H4" s="65">
        <v>0.29718901042991602</v>
      </c>
      <c r="I4" s="65">
        <v>0.28864019622872916</v>
      </c>
      <c r="J4" s="65">
        <v>0.36794437302793037</v>
      </c>
      <c r="K4" s="65">
        <v>0.36794437302793037</v>
      </c>
      <c r="L4" s="65">
        <v>0.37417833456153282</v>
      </c>
      <c r="M4" s="65">
        <v>0.37190180071321216</v>
      </c>
      <c r="N4" s="65">
        <v>0.37235853486733977</v>
      </c>
      <c r="O4" s="69">
        <v>0.38700000000000001</v>
      </c>
      <c r="P4" s="69">
        <v>0.38700000000000001</v>
      </c>
      <c r="Q4" s="69">
        <v>0.39600000000000002</v>
      </c>
      <c r="R4" s="69">
        <v>0.40500000000000003</v>
      </c>
      <c r="S4" s="69">
        <v>0.40799999999999997</v>
      </c>
      <c r="T4" s="69">
        <v>0.433</v>
      </c>
      <c r="U4" s="69">
        <v>0.433</v>
      </c>
      <c r="V4" s="69">
        <v>0.35</v>
      </c>
      <c r="W4" s="69">
        <v>0.35799999999999998</v>
      </c>
      <c r="X4" s="69">
        <v>0.375</v>
      </c>
      <c r="Y4" s="69">
        <v>0.36499999999999999</v>
      </c>
      <c r="Z4" s="69">
        <v>0.36499999999999999</v>
      </c>
      <c r="AA4" s="69">
        <v>0.39700000000000002</v>
      </c>
      <c r="AB4" s="69">
        <v>0.39900000000000002</v>
      </c>
      <c r="AC4" s="69">
        <v>0.39</v>
      </c>
      <c r="AD4" s="69">
        <v>0.33900000000000002</v>
      </c>
      <c r="AE4" s="69">
        <v>0.33900000000000002</v>
      </c>
      <c r="AF4" s="69">
        <v>0.35901273991284965</v>
      </c>
      <c r="AG4" s="69">
        <v>0.35199999999999998</v>
      </c>
      <c r="AH4" s="69">
        <v>0.33800000000000002</v>
      </c>
      <c r="AI4" s="69">
        <v>0.32900000000000001</v>
      </c>
      <c r="AJ4" s="69">
        <v>0.32900000000000001</v>
      </c>
      <c r="AK4" s="69">
        <v>0.32400000000000001</v>
      </c>
      <c r="AL4" s="69">
        <v>0.31900000000000001</v>
      </c>
      <c r="AM4" s="69">
        <v>0.31</v>
      </c>
      <c r="AN4" s="69">
        <v>0.30199999999999999</v>
      </c>
      <c r="AO4" s="69">
        <v>0.30199999999999999</v>
      </c>
      <c r="AP4" s="69">
        <v>0.311</v>
      </c>
      <c r="AQ4" s="69">
        <v>0.30399999999999999</v>
      </c>
      <c r="AR4" s="69">
        <v>0.29599999999999999</v>
      </c>
      <c r="AS4" s="69">
        <v>0.308</v>
      </c>
      <c r="AT4" s="69">
        <v>0.308</v>
      </c>
      <c r="AU4" s="69">
        <v>0.309</v>
      </c>
      <c r="AV4" s="175">
        <v>0.307</v>
      </c>
    </row>
    <row r="5" spans="1:48" ht="13.5" customHeight="1" x14ac:dyDescent="0.25">
      <c r="A5" s="59" t="s">
        <v>170</v>
      </c>
      <c r="B5" s="69">
        <v>0</v>
      </c>
      <c r="C5" s="69">
        <v>1E-3</v>
      </c>
      <c r="D5" s="69">
        <v>-0.05</v>
      </c>
      <c r="E5" s="69">
        <v>-0.49099999999999999</v>
      </c>
      <c r="F5" s="69">
        <v>-0.14099999999999999</v>
      </c>
      <c r="G5" s="69">
        <v>-6.9000000000000006E-2</v>
      </c>
      <c r="H5" s="69">
        <v>4.9000000000000002E-2</v>
      </c>
      <c r="I5" s="69">
        <v>5.0000000000000001E-3</v>
      </c>
      <c r="J5" s="69">
        <v>0.17899999999999999</v>
      </c>
      <c r="K5" s="69">
        <v>4.4999999999999998E-2</v>
      </c>
      <c r="L5" s="69">
        <v>2.7E-2</v>
      </c>
      <c r="M5" s="69">
        <v>-2.4E-2</v>
      </c>
      <c r="N5" s="69">
        <v>4.8000000000000001E-2</v>
      </c>
      <c r="O5" s="69">
        <v>9.5000000000000001E-2</v>
      </c>
      <c r="P5" s="69">
        <v>3.6999999999999998E-2</v>
      </c>
      <c r="Q5" s="69">
        <v>0.157</v>
      </c>
      <c r="R5" s="69">
        <v>0.14000000000000001</v>
      </c>
      <c r="S5" s="69">
        <v>5.3999999999999999E-2</v>
      </c>
      <c r="T5" s="69">
        <v>4.8000000000000001E-2</v>
      </c>
      <c r="U5" s="69">
        <v>0.108</v>
      </c>
      <c r="V5" s="69">
        <v>-9.8000000000000004E-2</v>
      </c>
      <c r="W5" s="69">
        <v>0.13200000000000001</v>
      </c>
      <c r="X5" s="69">
        <v>3.3000000000000002E-2</v>
      </c>
      <c r="Y5" s="69">
        <v>-0.28799999999999998</v>
      </c>
      <c r="Z5" s="69">
        <v>-0.20300000000000001</v>
      </c>
      <c r="AA5" s="69">
        <v>0.43099999999999999</v>
      </c>
      <c r="AB5" s="69">
        <v>4.8000000000000001E-2</v>
      </c>
      <c r="AC5" s="69">
        <v>3.1E-2</v>
      </c>
      <c r="AD5" s="69">
        <v>-0.26300000000000001</v>
      </c>
      <c r="AE5" s="69">
        <v>5.0999999999999997E-2</v>
      </c>
      <c r="AF5" s="69">
        <v>0.11945701357466065</v>
      </c>
      <c r="AG5" s="69">
        <v>3.4000000000000002E-2</v>
      </c>
      <c r="AH5" s="69">
        <v>0.10100000000000001</v>
      </c>
      <c r="AI5" s="69">
        <v>0.1507810731265565</v>
      </c>
      <c r="AJ5" s="69">
        <v>8.9838077569489305E-2</v>
      </c>
      <c r="AK5" s="69">
        <v>0.114</v>
      </c>
      <c r="AL5" s="69">
        <v>5.8999999999999997E-2</v>
      </c>
      <c r="AM5" s="69">
        <v>9.2999999999999999E-2</v>
      </c>
      <c r="AN5" s="69">
        <v>0.20499999999999999</v>
      </c>
      <c r="AO5" s="69">
        <v>0.111</v>
      </c>
      <c r="AP5" s="69">
        <v>0.107</v>
      </c>
      <c r="AQ5" s="69">
        <v>0.11</v>
      </c>
      <c r="AR5" s="69">
        <v>9.2999999999999999E-2</v>
      </c>
      <c r="AS5" s="69">
        <v>0.11600000000000001</v>
      </c>
      <c r="AT5" s="69">
        <v>0.111</v>
      </c>
      <c r="AU5" s="69">
        <v>0.23</v>
      </c>
      <c r="AV5" s="175">
        <v>0.13</v>
      </c>
    </row>
    <row r="6" spans="1:48" ht="13.5" customHeight="1" x14ac:dyDescent="0.25">
      <c r="A6" s="59" t="s">
        <v>171</v>
      </c>
      <c r="B6" s="69">
        <v>5.8000000000000003E-2</v>
      </c>
      <c r="C6" s="69">
        <v>0.04</v>
      </c>
      <c r="D6" s="69">
        <v>3.1E-2</v>
      </c>
      <c r="E6" s="69">
        <v>-0.215</v>
      </c>
      <c r="F6" s="69">
        <v>-1.4999999999999999E-2</v>
      </c>
      <c r="G6" s="69">
        <v>8.9999999999999993E-3</v>
      </c>
      <c r="H6" s="69">
        <v>6.8000000000000005E-2</v>
      </c>
      <c r="I6" s="69">
        <v>6.2E-2</v>
      </c>
      <c r="J6" s="69">
        <v>3.5999999999999997E-2</v>
      </c>
      <c r="K6" s="69">
        <v>0.04</v>
      </c>
      <c r="L6" s="69">
        <v>4.5999999999999999E-2</v>
      </c>
      <c r="M6" s="69">
        <v>3.3000000000000002E-2</v>
      </c>
      <c r="N6" s="69">
        <v>5.5E-2</v>
      </c>
      <c r="O6" s="69">
        <v>8.8999999999999996E-2</v>
      </c>
      <c r="P6" s="69">
        <v>5.7000000000000002E-2</v>
      </c>
      <c r="Q6" s="69">
        <v>0.113</v>
      </c>
      <c r="R6" s="69">
        <v>0.125</v>
      </c>
      <c r="S6" s="69">
        <v>0.09</v>
      </c>
      <c r="T6" s="69">
        <v>8.2000000000000003E-2</v>
      </c>
      <c r="U6" s="69">
        <v>0.10100000000000001</v>
      </c>
      <c r="V6" s="69">
        <v>-0.27700000000000002</v>
      </c>
      <c r="W6" s="69">
        <v>8.5000000000000006E-2</v>
      </c>
      <c r="X6" s="69">
        <v>5.7000000000000002E-2</v>
      </c>
      <c r="Y6" s="69">
        <v>-5.0999999999999997E-2</v>
      </c>
      <c r="Z6" s="69">
        <v>-4.9000000000000002E-2</v>
      </c>
      <c r="AA6" s="69">
        <v>7.4999999999999997E-2</v>
      </c>
      <c r="AB6" s="69">
        <v>3.9E-2</v>
      </c>
      <c r="AC6" s="69">
        <v>4.8000000000000001E-2</v>
      </c>
      <c r="AD6" s="69">
        <v>-8.8999999999999996E-2</v>
      </c>
      <c r="AE6" s="69">
        <v>1.9E-2</v>
      </c>
      <c r="AF6" s="69">
        <v>5.6452946270120069E-2</v>
      </c>
      <c r="AG6" s="69">
        <v>4.8000000000000001E-2</v>
      </c>
      <c r="AH6" s="69">
        <v>5.8000000000000003E-2</v>
      </c>
      <c r="AI6" s="69">
        <v>7.5732190538585084E-2</v>
      </c>
      <c r="AJ6" s="69">
        <v>5.7381448675878625E-2</v>
      </c>
      <c r="AK6" s="69">
        <v>7.8E-2</v>
      </c>
      <c r="AL6" s="69">
        <v>3.5999999999999997E-2</v>
      </c>
      <c r="AM6" s="69">
        <v>8.1000000000000003E-2</v>
      </c>
      <c r="AN6" s="69">
        <v>9.1999999999999998E-2</v>
      </c>
      <c r="AO6" s="69">
        <v>7.1999999999999995E-2</v>
      </c>
      <c r="AP6" s="69">
        <v>8.6999999999999994E-2</v>
      </c>
      <c r="AQ6" s="69">
        <v>7.0999999999999994E-2</v>
      </c>
      <c r="AR6" s="69">
        <v>8.3000000000000004E-2</v>
      </c>
      <c r="AS6" s="69">
        <v>7.0000000000000007E-2</v>
      </c>
      <c r="AT6" s="69">
        <v>7.4999999999999997E-2</v>
      </c>
      <c r="AU6" s="69">
        <v>0.185</v>
      </c>
      <c r="AV6" s="175">
        <v>5.3999999999999999E-2</v>
      </c>
    </row>
    <row r="7" spans="1:48" ht="13.5" customHeight="1" x14ac:dyDescent="0.25">
      <c r="A7" s="59" t="s">
        <v>172</v>
      </c>
      <c r="B7" s="66">
        <v>1631.3</v>
      </c>
      <c r="C7" s="66">
        <v>1660.5</v>
      </c>
      <c r="D7" s="66">
        <v>1639.3</v>
      </c>
      <c r="E7" s="66">
        <v>1634.9</v>
      </c>
      <c r="F7" s="66">
        <v>1634.9</v>
      </c>
      <c r="G7" s="66">
        <v>1377.6</v>
      </c>
      <c r="H7" s="66">
        <v>1406.6</v>
      </c>
      <c r="I7" s="66">
        <v>1522.4</v>
      </c>
      <c r="J7" s="66">
        <v>1275.3</v>
      </c>
      <c r="K7" s="66">
        <v>1275.3</v>
      </c>
      <c r="L7" s="66">
        <v>1221</v>
      </c>
      <c r="M7" s="66">
        <v>1218.0999999999999</v>
      </c>
      <c r="N7" s="66">
        <v>1233.2</v>
      </c>
      <c r="O7" s="66">
        <v>1231.5999999999999</v>
      </c>
      <c r="P7" s="66">
        <f>+O7</f>
        <v>1231.5999999999999</v>
      </c>
      <c r="Q7" s="66">
        <v>1151.4000000000001</v>
      </c>
      <c r="R7" s="66">
        <v>1046.0999999999999</v>
      </c>
      <c r="S7" s="66">
        <v>999.1</v>
      </c>
      <c r="T7" s="66">
        <v>996.6</v>
      </c>
      <c r="U7" s="66">
        <v>996.6</v>
      </c>
      <c r="V7" s="66">
        <v>1068.2</v>
      </c>
      <c r="W7" s="66">
        <v>1015.4</v>
      </c>
      <c r="X7" s="66">
        <v>976.3</v>
      </c>
      <c r="Y7" s="66">
        <v>936.1</v>
      </c>
      <c r="Z7" s="66">
        <v>936.1</v>
      </c>
      <c r="AA7" s="66">
        <v>931.2</v>
      </c>
      <c r="AB7" s="66">
        <v>854.4</v>
      </c>
      <c r="AC7" s="66">
        <f>806.6+0.5</f>
        <v>807.1</v>
      </c>
      <c r="AD7" s="66">
        <v>653.4</v>
      </c>
      <c r="AE7" s="66">
        <v>653.4</v>
      </c>
      <c r="AF7" s="66">
        <v>607.29999999999995</v>
      </c>
      <c r="AG7" s="66">
        <v>528.29999999999995</v>
      </c>
      <c r="AH7" s="66">
        <v>463.2</v>
      </c>
      <c r="AI7" s="66">
        <v>497.4</v>
      </c>
      <c r="AJ7" s="66">
        <v>497.4</v>
      </c>
      <c r="AK7" s="66">
        <v>369.1</v>
      </c>
      <c r="AL7" s="66">
        <v>347.6</v>
      </c>
      <c r="AM7" s="66">
        <v>294.7</v>
      </c>
      <c r="AN7" s="66">
        <v>172.2</v>
      </c>
      <c r="AO7" s="66">
        <v>172.2</v>
      </c>
      <c r="AP7" s="66">
        <v>28.2</v>
      </c>
      <c r="AQ7" s="145">
        <v>-29</v>
      </c>
      <c r="AR7" s="145">
        <v>-38.4</v>
      </c>
      <c r="AS7" s="145">
        <v>-74.400000000000006</v>
      </c>
      <c r="AT7" s="145">
        <v>-74.400000000000006</v>
      </c>
      <c r="AU7" s="145">
        <v>-184.3</v>
      </c>
      <c r="AV7" s="170">
        <v>-213.4</v>
      </c>
    </row>
    <row r="8" spans="1:48" ht="13.5" customHeight="1" x14ac:dyDescent="0.25">
      <c r="A8" s="59" t="s">
        <v>173</v>
      </c>
      <c r="B8" s="83">
        <v>0.18</v>
      </c>
      <c r="C8" s="83">
        <v>0.16</v>
      </c>
      <c r="D8" s="83">
        <v>0.54</v>
      </c>
      <c r="E8" s="83">
        <v>0.42</v>
      </c>
      <c r="F8" s="83">
        <v>4.29</v>
      </c>
      <c r="G8" s="83">
        <v>1.87</v>
      </c>
      <c r="H8" s="83">
        <v>0.56999999999999995</v>
      </c>
      <c r="I8" s="83">
        <v>0.52</v>
      </c>
      <c r="J8" s="83">
        <v>0.6</v>
      </c>
      <c r="K8" s="83">
        <v>3.57</v>
      </c>
      <c r="L8" s="83">
        <v>1.01</v>
      </c>
      <c r="M8" s="83">
        <v>0.56999999999999995</v>
      </c>
      <c r="N8" s="83">
        <v>0.53</v>
      </c>
      <c r="O8" s="83">
        <v>0.23</v>
      </c>
      <c r="P8" s="83">
        <v>2.36</v>
      </c>
      <c r="Q8" s="37">
        <v>0.87</v>
      </c>
      <c r="R8" s="37">
        <v>0.85</v>
      </c>
      <c r="S8" s="37">
        <v>0.82</v>
      </c>
      <c r="T8" s="37">
        <v>0.75</v>
      </c>
      <c r="U8" s="37">
        <v>3.29</v>
      </c>
      <c r="V8" s="37">
        <v>0.51</v>
      </c>
      <c r="W8" s="37">
        <v>0.65</v>
      </c>
      <c r="X8" s="37">
        <v>0.44</v>
      </c>
      <c r="Y8" s="83">
        <v>0.49</v>
      </c>
      <c r="Z8" s="83">
        <v>2.09</v>
      </c>
      <c r="AA8" s="83">
        <v>0.38</v>
      </c>
      <c r="AB8" s="83">
        <v>0.72</v>
      </c>
      <c r="AC8" s="83">
        <v>0.85</v>
      </c>
      <c r="AD8" s="83">
        <v>0.8</v>
      </c>
      <c r="AE8" s="83">
        <v>2.76</v>
      </c>
      <c r="AF8" s="83">
        <v>0.8</v>
      </c>
      <c r="AG8" s="83">
        <v>0.73</v>
      </c>
      <c r="AH8" s="83">
        <v>1.04</v>
      </c>
      <c r="AI8" s="83">
        <v>0.94400667141301253</v>
      </c>
      <c r="AJ8" s="83">
        <v>3.5154246148496036</v>
      </c>
      <c r="AK8" s="83">
        <v>0.69</v>
      </c>
      <c r="AL8" s="83">
        <v>0.46</v>
      </c>
      <c r="AM8" s="83">
        <v>0.63</v>
      </c>
      <c r="AN8" s="83">
        <v>1.24</v>
      </c>
      <c r="AO8" s="83">
        <v>3.02</v>
      </c>
      <c r="AP8" s="83">
        <v>0.48</v>
      </c>
      <c r="AQ8" s="83">
        <v>0.57999999999999996</v>
      </c>
      <c r="AR8" s="83">
        <v>0.49</v>
      </c>
      <c r="AS8" s="183">
        <v>0.43</v>
      </c>
      <c r="AT8" s="145">
        <f>SUM(AP8:AS8)</f>
        <v>1.98</v>
      </c>
      <c r="AU8" s="183">
        <v>0.31</v>
      </c>
      <c r="AV8" s="181">
        <v>0.56000000000000005</v>
      </c>
    </row>
    <row r="9" spans="1:48" ht="13.5" customHeight="1" x14ac:dyDescent="0.25">
      <c r="A9" s="59" t="s">
        <v>174</v>
      </c>
      <c r="B9" s="82">
        <v>0</v>
      </c>
      <c r="C9" s="83">
        <v>-0.01</v>
      </c>
      <c r="D9" s="82">
        <v>-0.08</v>
      </c>
      <c r="E9" s="83">
        <v>-0.62</v>
      </c>
      <c r="F9" s="83">
        <v>-1.47</v>
      </c>
      <c r="G9" s="83">
        <v>-0.08</v>
      </c>
      <c r="H9" s="83">
        <v>0.03</v>
      </c>
      <c r="I9" s="83">
        <v>0.02</v>
      </c>
      <c r="J9" s="83">
        <v>0.25</v>
      </c>
      <c r="K9" s="83">
        <v>0.22</v>
      </c>
      <c r="L9" s="83">
        <v>0.09</v>
      </c>
      <c r="M9" s="83">
        <v>-0.05</v>
      </c>
      <c r="N9" s="83">
        <v>7.0000000000000007E-2</v>
      </c>
      <c r="O9" s="83">
        <v>0.05</v>
      </c>
      <c r="P9" s="83">
        <v>0.18</v>
      </c>
      <c r="Q9" s="37">
        <v>0.14000000000000001</v>
      </c>
      <c r="R9" s="37">
        <v>0.13</v>
      </c>
      <c r="S9" s="37">
        <v>0.03</v>
      </c>
      <c r="T9" s="37">
        <v>0.12</v>
      </c>
      <c r="U9" s="37">
        <v>0.45</v>
      </c>
      <c r="V9" s="83">
        <v>-1.49</v>
      </c>
      <c r="W9" s="83">
        <v>0.15</v>
      </c>
      <c r="X9" s="83">
        <v>7.0000000000000007E-2</v>
      </c>
      <c r="Y9" s="83">
        <v>-0.25</v>
      </c>
      <c r="Z9" s="83">
        <v>-1.56</v>
      </c>
      <c r="AA9" s="83">
        <v>0.53</v>
      </c>
      <c r="AB9" s="83">
        <v>0.03</v>
      </c>
      <c r="AC9" s="83">
        <v>0.03</v>
      </c>
      <c r="AD9" s="83">
        <v>-0.25</v>
      </c>
      <c r="AE9" s="83">
        <v>0.35</v>
      </c>
      <c r="AF9" s="83">
        <v>0.25993435507186652</v>
      </c>
      <c r="AG9" s="83">
        <v>7.0000000000000007E-2</v>
      </c>
      <c r="AH9" s="83">
        <v>0.17</v>
      </c>
      <c r="AI9" s="83">
        <v>0.22232683135934111</v>
      </c>
      <c r="AJ9" s="83">
        <v>0.71730820963449116</v>
      </c>
      <c r="AK9" s="83">
        <v>0.1</v>
      </c>
      <c r="AL9" s="83">
        <v>7.0000000000000007E-2</v>
      </c>
      <c r="AM9" s="83">
        <v>0.17</v>
      </c>
      <c r="AN9" s="83">
        <v>0.22</v>
      </c>
      <c r="AO9" s="83">
        <v>0.56000000000000005</v>
      </c>
      <c r="AP9" s="83">
        <v>0.2</v>
      </c>
      <c r="AQ9" s="83">
        <v>0.16</v>
      </c>
      <c r="AR9" s="83">
        <v>0.08</v>
      </c>
      <c r="AS9" s="83">
        <v>0.23</v>
      </c>
      <c r="AT9" s="183">
        <f>SUM(AP9:AS9)</f>
        <v>0.67</v>
      </c>
      <c r="AU9" s="183">
        <v>0.34</v>
      </c>
      <c r="AV9" s="181">
        <v>0.14000000000000001</v>
      </c>
    </row>
    <row r="10" spans="1:48" ht="13.5" customHeight="1" x14ac:dyDescent="0.25">
      <c r="A10" s="59" t="s">
        <v>175</v>
      </c>
      <c r="B10" s="82">
        <v>0</v>
      </c>
      <c r="C10" s="83">
        <v>-0.01</v>
      </c>
      <c r="D10" s="82">
        <v>-0.08</v>
      </c>
      <c r="E10" s="83">
        <v>-0.62</v>
      </c>
      <c r="F10" s="83">
        <v>-1.47</v>
      </c>
      <c r="G10" s="83">
        <v>-0.08</v>
      </c>
      <c r="H10" s="83">
        <v>0.03</v>
      </c>
      <c r="I10" s="83">
        <v>0.02</v>
      </c>
      <c r="J10" s="83">
        <v>0.25</v>
      </c>
      <c r="K10" s="83">
        <v>0.22</v>
      </c>
      <c r="L10" s="83">
        <v>0.09</v>
      </c>
      <c r="M10" s="83">
        <v>-0.05</v>
      </c>
      <c r="N10" s="83">
        <v>7.0000000000000007E-2</v>
      </c>
      <c r="O10" s="83">
        <v>0.05</v>
      </c>
      <c r="P10" s="83">
        <v>0.18</v>
      </c>
      <c r="Q10" s="37">
        <v>0.14000000000000001</v>
      </c>
      <c r="R10" s="37">
        <v>0.13</v>
      </c>
      <c r="S10" s="37">
        <v>0.03</v>
      </c>
      <c r="T10" s="37">
        <v>0.12</v>
      </c>
      <c r="U10" s="37">
        <v>0.44</v>
      </c>
      <c r="V10" s="83">
        <f>+V9</f>
        <v>-1.49</v>
      </c>
      <c r="W10" s="83">
        <v>0.14000000000000001</v>
      </c>
      <c r="X10" s="83">
        <v>7.0000000000000007E-2</v>
      </c>
      <c r="Y10" s="83">
        <f>+Y9</f>
        <v>-0.25</v>
      </c>
      <c r="Z10" s="83">
        <f>+Z9</f>
        <v>-1.56</v>
      </c>
      <c r="AA10" s="83">
        <v>0.46</v>
      </c>
      <c r="AB10" s="83">
        <v>0.03</v>
      </c>
      <c r="AC10" s="83">
        <v>0.03</v>
      </c>
      <c r="AD10" s="83">
        <f>+AD9</f>
        <v>-0.25</v>
      </c>
      <c r="AE10" s="83">
        <v>0.33</v>
      </c>
      <c r="AF10" s="83">
        <v>0.22973756318455849</v>
      </c>
      <c r="AG10" s="83">
        <v>7.0000000000000007E-2</v>
      </c>
      <c r="AH10" s="83">
        <v>0.15</v>
      </c>
      <c r="AI10" s="83">
        <v>0.20028864168286331</v>
      </c>
      <c r="AJ10" s="83">
        <v>0.6592348285347337</v>
      </c>
      <c r="AK10" s="83">
        <v>0.09</v>
      </c>
      <c r="AL10" s="83">
        <v>7.0000000000000007E-2</v>
      </c>
      <c r="AM10" s="83">
        <v>0.15</v>
      </c>
      <c r="AN10" s="83">
        <v>0.2</v>
      </c>
      <c r="AO10" s="83">
        <v>0.52</v>
      </c>
      <c r="AP10" s="83">
        <v>0.19</v>
      </c>
      <c r="AQ10" s="83">
        <v>0.15</v>
      </c>
      <c r="AR10" s="83">
        <v>0.08</v>
      </c>
      <c r="AS10" s="83">
        <v>0.21</v>
      </c>
      <c r="AT10" s="183">
        <f>SUM(AP10:AS10)</f>
        <v>0.63</v>
      </c>
      <c r="AU10" s="183">
        <v>0.34</v>
      </c>
      <c r="AV10" s="181">
        <v>0.14000000000000001</v>
      </c>
    </row>
    <row r="11" spans="1:48" ht="13.5" customHeight="1" x14ac:dyDescent="0.25">
      <c r="A11" s="59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149"/>
      <c r="AB11" s="149"/>
      <c r="AC11" s="149"/>
      <c r="AD11" s="60"/>
      <c r="AE11" s="60"/>
      <c r="AF11" s="60"/>
      <c r="AG11" s="149"/>
      <c r="AH11" s="149"/>
      <c r="AI11" s="60"/>
      <c r="AJ11" s="60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76"/>
    </row>
    <row r="12" spans="1:48" ht="13.5" customHeight="1" x14ac:dyDescent="0.25">
      <c r="A12" s="59" t="s">
        <v>176</v>
      </c>
      <c r="B12" s="70">
        <v>688</v>
      </c>
      <c r="C12" s="70">
        <v>688</v>
      </c>
      <c r="D12" s="70">
        <v>185</v>
      </c>
      <c r="E12" s="70">
        <v>184.95632000000001</v>
      </c>
      <c r="F12" s="70">
        <v>184.95632000000001</v>
      </c>
      <c r="G12" s="70">
        <v>184.95632000000001</v>
      </c>
      <c r="H12" s="70">
        <v>184.95632000000001</v>
      </c>
      <c r="I12" s="70">
        <v>184.95632000000001</v>
      </c>
      <c r="J12" s="70">
        <v>184.95632000000001</v>
      </c>
      <c r="K12" s="70">
        <v>184.95632000000001</v>
      </c>
      <c r="L12" s="70">
        <v>184.95632000000001</v>
      </c>
      <c r="M12" s="70">
        <v>184.95632000000001</v>
      </c>
      <c r="N12" s="70">
        <f t="shared" ref="N12:R12" si="0">184956320/1000000</f>
        <v>184.95632000000001</v>
      </c>
      <c r="O12" s="72">
        <f t="shared" si="0"/>
        <v>184.95632000000001</v>
      </c>
      <c r="P12" s="72">
        <f t="shared" si="0"/>
        <v>184.95632000000001</v>
      </c>
      <c r="Q12" s="72">
        <f t="shared" si="0"/>
        <v>184.95632000000001</v>
      </c>
      <c r="R12" s="72">
        <f t="shared" si="0"/>
        <v>184.95632000000001</v>
      </c>
      <c r="S12" s="72">
        <v>185</v>
      </c>
      <c r="T12" s="72">
        <v>185</v>
      </c>
      <c r="U12" s="72">
        <f t="shared" ref="U12:V12" si="1">184956320/1000000</f>
        <v>184.95632000000001</v>
      </c>
      <c r="V12" s="72">
        <f t="shared" si="1"/>
        <v>184.95632000000001</v>
      </c>
      <c r="W12" s="72">
        <f>184.95632-4.156534</f>
        <v>180.79978600000001</v>
      </c>
      <c r="X12" s="72">
        <f t="shared" ref="X12:AH12" si="2">+W12</f>
        <v>180.79978600000001</v>
      </c>
      <c r="Y12" s="72">
        <f t="shared" si="2"/>
        <v>180.79978600000001</v>
      </c>
      <c r="Z12" s="72">
        <f t="shared" si="2"/>
        <v>180.79978600000001</v>
      </c>
      <c r="AA12" s="72">
        <f t="shared" si="2"/>
        <v>180.79978600000001</v>
      </c>
      <c r="AB12" s="72">
        <f t="shared" si="2"/>
        <v>180.79978600000001</v>
      </c>
      <c r="AC12" s="72">
        <f t="shared" si="2"/>
        <v>180.79978600000001</v>
      </c>
      <c r="AD12" s="72">
        <f t="shared" si="2"/>
        <v>180.79978600000001</v>
      </c>
      <c r="AE12" s="72">
        <f t="shared" si="2"/>
        <v>180.79978600000001</v>
      </c>
      <c r="AF12" s="72">
        <f t="shared" si="2"/>
        <v>180.79978600000001</v>
      </c>
      <c r="AG12" s="72">
        <f t="shared" si="2"/>
        <v>180.79978600000001</v>
      </c>
      <c r="AH12" s="72">
        <f t="shared" si="2"/>
        <v>180.79978600000001</v>
      </c>
      <c r="AI12" s="72">
        <f t="shared" ref="AI12:AQ12" si="3">+AH12</f>
        <v>180.79978600000001</v>
      </c>
      <c r="AJ12" s="72">
        <f t="shared" si="3"/>
        <v>180.79978600000001</v>
      </c>
      <c r="AK12" s="72">
        <f t="shared" si="3"/>
        <v>180.79978600000001</v>
      </c>
      <c r="AL12" s="72">
        <f t="shared" si="3"/>
        <v>180.79978600000001</v>
      </c>
      <c r="AM12" s="72">
        <f t="shared" si="3"/>
        <v>180.79978600000001</v>
      </c>
      <c r="AN12" s="72">
        <f t="shared" si="3"/>
        <v>180.79978600000001</v>
      </c>
      <c r="AO12" s="72">
        <f t="shared" si="3"/>
        <v>180.79978600000001</v>
      </c>
      <c r="AP12" s="72">
        <f t="shared" si="3"/>
        <v>180.79978600000001</v>
      </c>
      <c r="AQ12" s="72">
        <f t="shared" si="3"/>
        <v>180.79978600000001</v>
      </c>
      <c r="AR12" s="72">
        <v>180.8</v>
      </c>
      <c r="AS12" s="72">
        <v>180.8</v>
      </c>
      <c r="AT12" s="72">
        <v>180.8</v>
      </c>
      <c r="AU12" s="72">
        <v>180.8</v>
      </c>
      <c r="AV12" s="177">
        <v>181.2</v>
      </c>
    </row>
    <row r="13" spans="1:48" ht="13.5" customHeight="1" x14ac:dyDescent="0.25">
      <c r="A13" s="59" t="s">
        <v>177</v>
      </c>
      <c r="B13" s="64">
        <v>1.3</v>
      </c>
      <c r="C13" s="64">
        <v>0.77</v>
      </c>
      <c r="D13" s="64">
        <v>17</v>
      </c>
      <c r="E13" s="64">
        <v>27.7</v>
      </c>
      <c r="F13" s="64">
        <v>27.7</v>
      </c>
      <c r="G13" s="64">
        <v>21</v>
      </c>
      <c r="H13" s="64">
        <v>21</v>
      </c>
      <c r="I13" s="64">
        <v>27.9</v>
      </c>
      <c r="J13" s="64">
        <v>35.799999999999997</v>
      </c>
      <c r="K13" s="64">
        <v>35.799999999999997</v>
      </c>
      <c r="L13" s="64">
        <v>42.8</v>
      </c>
      <c r="M13" s="64">
        <v>41.7</v>
      </c>
      <c r="N13" s="64">
        <v>64.599999999999994</v>
      </c>
      <c r="O13" s="60">
        <v>31.7</v>
      </c>
      <c r="P13" s="60">
        <f>+O13</f>
        <v>31.7</v>
      </c>
      <c r="Q13" s="60">
        <v>44.8</v>
      </c>
      <c r="R13" s="60">
        <v>52</v>
      </c>
      <c r="S13" s="61">
        <v>62.8</v>
      </c>
      <c r="T13" s="61">
        <v>66</v>
      </c>
      <c r="U13" s="61">
        <v>66</v>
      </c>
      <c r="V13" s="60">
        <v>18.100000000000001</v>
      </c>
      <c r="W13" s="60">
        <v>31.6</v>
      </c>
      <c r="X13" s="60">
        <v>26.6</v>
      </c>
      <c r="Y13" s="60">
        <v>37.700000000000003</v>
      </c>
      <c r="Z13" s="60">
        <v>37.700000000000003</v>
      </c>
      <c r="AA13" s="60">
        <v>35.299999999999997</v>
      </c>
      <c r="AB13" s="61">
        <v>30.8</v>
      </c>
      <c r="AC13" s="61">
        <v>28.4</v>
      </c>
      <c r="AD13" s="61">
        <v>26.6</v>
      </c>
      <c r="AE13" s="61">
        <v>26.6</v>
      </c>
      <c r="AF13" s="61">
        <v>29.2</v>
      </c>
      <c r="AG13" s="61">
        <v>26.6</v>
      </c>
      <c r="AH13" s="61">
        <v>22.98</v>
      </c>
      <c r="AI13" s="72">
        <v>24.86</v>
      </c>
      <c r="AJ13" s="72">
        <v>24.86</v>
      </c>
      <c r="AK13" s="72">
        <v>29.72</v>
      </c>
      <c r="AL13" s="72">
        <v>26.2</v>
      </c>
      <c r="AM13" s="72">
        <v>24.6</v>
      </c>
      <c r="AN13" s="72">
        <v>22.42</v>
      </c>
      <c r="AO13" s="72">
        <v>22.42</v>
      </c>
      <c r="AP13" s="72">
        <v>27.2</v>
      </c>
      <c r="AQ13" s="72">
        <v>30.8</v>
      </c>
      <c r="AR13" s="72">
        <v>28.4</v>
      </c>
      <c r="AS13" s="72">
        <v>30</v>
      </c>
      <c r="AT13" s="72">
        <v>30</v>
      </c>
      <c r="AU13" s="72">
        <v>29.2</v>
      </c>
      <c r="AV13" s="177">
        <v>30.25</v>
      </c>
    </row>
    <row r="14" spans="1:48" ht="13.5" customHeight="1" x14ac:dyDescent="0.25">
      <c r="A14" s="59" t="s">
        <v>178</v>
      </c>
      <c r="B14" s="67">
        <v>894</v>
      </c>
      <c r="C14" s="67">
        <v>530</v>
      </c>
      <c r="D14" s="67">
        <v>3144</v>
      </c>
      <c r="E14" s="67">
        <v>5123</v>
      </c>
      <c r="F14" s="67">
        <v>5123</v>
      </c>
      <c r="G14" s="67">
        <v>3884</v>
      </c>
      <c r="H14" s="67">
        <v>3884</v>
      </c>
      <c r="I14" s="67">
        <v>5160</v>
      </c>
      <c r="J14" s="67">
        <v>6621</v>
      </c>
      <c r="K14" s="67">
        <v>6621</v>
      </c>
      <c r="L14" s="67">
        <v>7916</v>
      </c>
      <c r="M14" s="67">
        <v>7713</v>
      </c>
      <c r="N14" s="67">
        <v>11948</v>
      </c>
      <c r="O14" s="67">
        <v>5854</v>
      </c>
      <c r="P14" s="67">
        <f>+O14</f>
        <v>5854</v>
      </c>
      <c r="Q14" s="67">
        <v>8286</v>
      </c>
      <c r="R14" s="67">
        <v>9608</v>
      </c>
      <c r="S14" s="67">
        <v>11615</v>
      </c>
      <c r="T14" s="67">
        <v>12207</v>
      </c>
      <c r="U14" s="67">
        <v>12207</v>
      </c>
      <c r="V14" s="67">
        <v>3353</v>
      </c>
      <c r="W14" s="67">
        <v>5713</v>
      </c>
      <c r="X14" s="67">
        <v>4806</v>
      </c>
      <c r="Y14" s="67">
        <v>6820</v>
      </c>
      <c r="Z14" s="67">
        <v>6820</v>
      </c>
      <c r="AA14" s="67">
        <v>6386</v>
      </c>
      <c r="AB14" s="67">
        <v>5565</v>
      </c>
      <c r="AC14" s="67">
        <v>5135</v>
      </c>
      <c r="AD14" s="67">
        <v>4810</v>
      </c>
      <c r="AE14" s="67">
        <v>4810</v>
      </c>
      <c r="AF14" s="67">
        <v>5279.794583599999</v>
      </c>
      <c r="AG14" s="67">
        <v>4810</v>
      </c>
      <c r="AH14" s="67">
        <v>4155</v>
      </c>
      <c r="AI14" s="67">
        <v>4495.0579913800002</v>
      </c>
      <c r="AJ14" s="67">
        <v>4495.0579913800002</v>
      </c>
      <c r="AK14" s="67">
        <v>5374</v>
      </c>
      <c r="AL14" s="67">
        <v>4737</v>
      </c>
      <c r="AM14" s="67">
        <v>4448</v>
      </c>
      <c r="AN14" s="67">
        <v>4054</v>
      </c>
      <c r="AO14" s="67">
        <v>4054</v>
      </c>
      <c r="AP14" s="67">
        <v>4918</v>
      </c>
      <c r="AQ14" s="67">
        <v>5560</v>
      </c>
      <c r="AR14" s="67">
        <v>5135</v>
      </c>
      <c r="AS14" s="67">
        <v>5415</v>
      </c>
      <c r="AT14" s="67">
        <v>5415</v>
      </c>
      <c r="AU14" s="67">
        <v>5280</v>
      </c>
      <c r="AV14" s="178">
        <v>5482</v>
      </c>
    </row>
    <row r="15" spans="1:48" ht="13.5" customHeight="1" x14ac:dyDescent="0.25">
      <c r="A15" s="59" t="s">
        <v>179</v>
      </c>
      <c r="B15" s="67">
        <v>108</v>
      </c>
      <c r="C15" s="67">
        <v>63</v>
      </c>
      <c r="D15" s="67">
        <v>391</v>
      </c>
      <c r="E15" s="67">
        <v>594</v>
      </c>
      <c r="F15" s="67">
        <v>594</v>
      </c>
      <c r="G15" s="67">
        <v>453</v>
      </c>
      <c r="H15" s="67">
        <v>463</v>
      </c>
      <c r="I15" s="67">
        <v>647</v>
      </c>
      <c r="J15" s="67">
        <v>807</v>
      </c>
      <c r="K15" s="67">
        <v>807</v>
      </c>
      <c r="L15" s="67">
        <v>1018</v>
      </c>
      <c r="M15" s="67">
        <v>945</v>
      </c>
      <c r="N15" s="67">
        <v>1461</v>
      </c>
      <c r="O15" s="67">
        <v>674</v>
      </c>
      <c r="P15" s="67">
        <f>+O15</f>
        <v>674</v>
      </c>
      <c r="Q15" s="67">
        <v>964</v>
      </c>
      <c r="R15" s="67">
        <v>1128</v>
      </c>
      <c r="S15" s="67">
        <v>1278</v>
      </c>
      <c r="T15" s="67">
        <v>1390</v>
      </c>
      <c r="U15" s="67">
        <v>1390</v>
      </c>
      <c r="V15" s="67">
        <v>319</v>
      </c>
      <c r="W15" s="67">
        <v>594</v>
      </c>
      <c r="X15" s="67">
        <v>515</v>
      </c>
      <c r="Y15" s="67">
        <v>795</v>
      </c>
      <c r="Z15" s="67">
        <v>795</v>
      </c>
      <c r="AA15" s="67">
        <v>748</v>
      </c>
      <c r="AB15" s="67">
        <v>647</v>
      </c>
      <c r="AC15" s="67">
        <v>587</v>
      </c>
      <c r="AD15" s="67">
        <v>547</v>
      </c>
      <c r="AE15" s="67">
        <v>547</v>
      </c>
      <c r="AF15" s="67">
        <v>600.9251003270175</v>
      </c>
      <c r="AG15" s="67">
        <v>489</v>
      </c>
      <c r="AH15" s="67">
        <v>382</v>
      </c>
      <c r="AI15" s="67">
        <v>459.62866973458779</v>
      </c>
      <c r="AJ15" s="67">
        <v>459.62866973458779</v>
      </c>
      <c r="AK15" s="67">
        <v>514</v>
      </c>
      <c r="AL15" s="67">
        <v>442</v>
      </c>
      <c r="AM15" s="67">
        <v>416</v>
      </c>
      <c r="AN15" s="67">
        <v>399</v>
      </c>
      <c r="AO15" s="67">
        <v>399</v>
      </c>
      <c r="AP15" s="67">
        <v>455</v>
      </c>
      <c r="AQ15" s="67">
        <v>521</v>
      </c>
      <c r="AR15" s="67">
        <v>477</v>
      </c>
      <c r="AS15" s="67">
        <v>476</v>
      </c>
      <c r="AT15" s="67">
        <v>476</v>
      </c>
      <c r="AU15" s="67">
        <v>503</v>
      </c>
      <c r="AV15" s="178">
        <v>545</v>
      </c>
    </row>
    <row r="16" spans="1:48" ht="13.5" customHeight="1" x14ac:dyDescent="0.25">
      <c r="A16" s="39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</row>
    <row r="18" spans="1:43" ht="13.5" customHeight="1" x14ac:dyDescent="0.25">
      <c r="A18" s="62"/>
    </row>
    <row r="19" spans="1:43" ht="13.5" customHeight="1" x14ac:dyDescent="0.25">
      <c r="AL19" s="69"/>
      <c r="AM19" s="69"/>
      <c r="AQ19" s="69"/>
    </row>
  </sheetData>
  <pageMargins left="0.7" right="0.7" top="0.75" bottom="0.75" header="0.3" footer="0.3"/>
  <pageSetup paperSize="9" scale="78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EE7B0-E22D-4D98-BCE0-9C486295E315}">
  <sheetPr codeName="Sheet7">
    <tabColor rgb="FF92D050"/>
    <pageSetUpPr fitToPage="1"/>
  </sheetPr>
  <dimension ref="A2:AV30"/>
  <sheetViews>
    <sheetView showGridLines="0" topLeftCell="AI1" workbookViewId="0">
      <selection activeCell="AQ1" sqref="AQ1:AQ1048576"/>
    </sheetView>
  </sheetViews>
  <sheetFormatPr defaultRowHeight="13.5" customHeight="1" x14ac:dyDescent="0.25"/>
  <cols>
    <col min="1" max="1" width="37.85546875" customWidth="1"/>
    <col min="2" max="4" width="9.5703125" hidden="1" customWidth="1"/>
    <col min="5" max="5" width="9.7109375" hidden="1" customWidth="1"/>
    <col min="6" max="18" width="9.5703125" hidden="1" customWidth="1"/>
    <col min="19" max="32" width="10.85546875" hidden="1" customWidth="1"/>
    <col min="33" max="34" width="10.85546875" customWidth="1"/>
    <col min="35" max="35" width="10.7109375" customWidth="1"/>
    <col min="36" max="36" width="10.85546875" customWidth="1"/>
    <col min="37" max="48" width="10.7109375" customWidth="1"/>
  </cols>
  <sheetData>
    <row r="2" spans="1:48" ht="13.5" customHeight="1" x14ac:dyDescent="0.25">
      <c r="A2" s="93"/>
      <c r="B2" s="94" t="s">
        <v>0</v>
      </c>
      <c r="C2" s="94" t="s">
        <v>1</v>
      </c>
      <c r="D2" s="94" t="s">
        <v>2</v>
      </c>
      <c r="E2" s="94" t="s">
        <v>3</v>
      </c>
      <c r="F2" s="94" t="s">
        <v>4</v>
      </c>
      <c r="G2" s="94" t="s">
        <v>110</v>
      </c>
      <c r="H2" s="94" t="s">
        <v>111</v>
      </c>
      <c r="I2" s="94" t="s">
        <v>112</v>
      </c>
      <c r="J2" s="94" t="s">
        <v>113</v>
      </c>
      <c r="K2" s="94" t="s">
        <v>114</v>
      </c>
      <c r="L2" s="94" t="s">
        <v>115</v>
      </c>
      <c r="M2" s="94" t="s">
        <v>116</v>
      </c>
      <c r="N2" s="94" t="s">
        <v>117</v>
      </c>
      <c r="O2" s="94" t="s">
        <v>118</v>
      </c>
      <c r="P2" s="94" t="s">
        <v>119</v>
      </c>
      <c r="Q2" s="94" t="s">
        <v>120</v>
      </c>
      <c r="R2" s="94" t="s">
        <v>121</v>
      </c>
      <c r="S2" s="94" t="s">
        <v>122</v>
      </c>
      <c r="T2" s="94" t="s">
        <v>123</v>
      </c>
      <c r="U2" s="94" t="s">
        <v>124</v>
      </c>
      <c r="V2" s="94" t="s">
        <v>20</v>
      </c>
      <c r="W2" s="94" t="s">
        <v>21</v>
      </c>
      <c r="X2" s="94" t="s">
        <v>22</v>
      </c>
      <c r="Y2" s="94" t="s">
        <v>23</v>
      </c>
      <c r="Z2" s="94" t="s">
        <v>24</v>
      </c>
      <c r="AA2" s="94" t="s">
        <v>25</v>
      </c>
      <c r="AB2" s="94" t="s">
        <v>26</v>
      </c>
      <c r="AC2" s="94" t="s">
        <v>27</v>
      </c>
      <c r="AD2" s="94" t="s">
        <v>28</v>
      </c>
      <c r="AE2" s="94" t="s">
        <v>29</v>
      </c>
      <c r="AF2" s="94" t="s">
        <v>30</v>
      </c>
      <c r="AG2" s="94" t="s">
        <v>31</v>
      </c>
      <c r="AH2" s="94" t="s">
        <v>32</v>
      </c>
      <c r="AI2" s="94" t="s">
        <v>33</v>
      </c>
      <c r="AJ2" s="94" t="s">
        <v>34</v>
      </c>
      <c r="AK2" s="94" t="s">
        <v>198</v>
      </c>
      <c r="AL2" s="94" t="s">
        <v>199</v>
      </c>
      <c r="AM2" s="94" t="s">
        <v>200</v>
      </c>
      <c r="AN2" s="94" t="s">
        <v>201</v>
      </c>
      <c r="AO2" s="94" t="s">
        <v>202</v>
      </c>
      <c r="AP2" s="94" t="s">
        <v>207</v>
      </c>
      <c r="AQ2" s="94" t="s">
        <v>208</v>
      </c>
      <c r="AR2" s="94" t="s">
        <v>209</v>
      </c>
      <c r="AS2" s="94" t="s">
        <v>210</v>
      </c>
      <c r="AT2" s="94" t="s">
        <v>212</v>
      </c>
      <c r="AU2" s="94" t="s">
        <v>213</v>
      </c>
      <c r="AV2" s="94" t="s">
        <v>216</v>
      </c>
    </row>
    <row r="3" spans="1:48" ht="13.5" customHeight="1" x14ac:dyDescent="0.25">
      <c r="A3" s="11" t="s">
        <v>180</v>
      </c>
      <c r="B3" s="12">
        <v>108.5</v>
      </c>
      <c r="C3" s="12">
        <v>68.400000000000006</v>
      </c>
      <c r="D3" s="12">
        <v>57.9</v>
      </c>
      <c r="E3" s="12">
        <v>197.6</v>
      </c>
      <c r="F3" s="12">
        <f>SUM(B3:E3)</f>
        <v>432.4</v>
      </c>
      <c r="G3" s="12">
        <v>60.3</v>
      </c>
      <c r="H3" s="12">
        <v>61.5</v>
      </c>
      <c r="I3" s="12">
        <v>54.9</v>
      </c>
      <c r="J3" s="12">
        <v>57.3</v>
      </c>
      <c r="K3" s="12">
        <v>234</v>
      </c>
      <c r="L3" s="12">
        <v>54.6</v>
      </c>
      <c r="M3" s="12">
        <v>60.6</v>
      </c>
      <c r="N3" s="12">
        <v>56.3</v>
      </c>
      <c r="O3" s="12">
        <v>58.4</v>
      </c>
      <c r="P3" s="12">
        <v>229.9</v>
      </c>
      <c r="Q3" s="12">
        <v>56.6</v>
      </c>
      <c r="R3" s="12">
        <v>64.099999999999994</v>
      </c>
      <c r="S3" s="12">
        <v>61.1</v>
      </c>
      <c r="T3" s="12">
        <v>58.4</v>
      </c>
      <c r="U3" s="12">
        <f>SUM(Q3:T3)</f>
        <v>240.2</v>
      </c>
      <c r="V3" s="12">
        <v>64.7</v>
      </c>
      <c r="W3" s="12">
        <v>60.2</v>
      </c>
      <c r="X3" s="12">
        <v>51.9</v>
      </c>
      <c r="Y3" s="12">
        <v>46.4</v>
      </c>
      <c r="Z3" s="12">
        <f>SUM(V3:Y3)</f>
        <v>223.20000000000002</v>
      </c>
      <c r="AA3" s="12">
        <v>53.2</v>
      </c>
      <c r="AB3" s="12">
        <v>46.3</v>
      </c>
      <c r="AC3" s="12">
        <v>41.1</v>
      </c>
      <c r="AD3" s="12">
        <v>36.6</v>
      </c>
      <c r="AE3" s="12">
        <f>+AA3+AB3+AC3+AD3</f>
        <v>177.2</v>
      </c>
      <c r="AF3" s="12">
        <v>39.299999999999997</v>
      </c>
      <c r="AG3" s="12">
        <v>43.1</v>
      </c>
      <c r="AH3" s="12">
        <v>28.5</v>
      </c>
      <c r="AI3" s="12">
        <v>60.8</v>
      </c>
      <c r="AJ3" s="12">
        <f>SUM(AF3:AI3)</f>
        <v>171.7</v>
      </c>
      <c r="AK3" s="12">
        <v>27.5</v>
      </c>
      <c r="AL3" s="12">
        <f>30.1-3.1</f>
        <v>27</v>
      </c>
      <c r="AM3" s="12">
        <v>27.8</v>
      </c>
      <c r="AN3" s="12">
        <v>28.7</v>
      </c>
      <c r="AO3" s="12">
        <f>SUM(AK3:AN3)</f>
        <v>111</v>
      </c>
      <c r="AP3" s="12">
        <v>26.7</v>
      </c>
      <c r="AQ3" s="12">
        <v>26.2</v>
      </c>
      <c r="AR3" s="12">
        <v>26.6</v>
      </c>
      <c r="AS3" s="12">
        <f>AT3-AR3-AQ3-AP3</f>
        <v>26.699999999999992</v>
      </c>
      <c r="AT3" s="12">
        <v>106.2</v>
      </c>
      <c r="AU3" s="12">
        <v>56.8</v>
      </c>
      <c r="AV3" s="13">
        <v>30.8</v>
      </c>
    </row>
    <row r="4" spans="1:48" ht="13.5" customHeight="1" x14ac:dyDescent="0.25">
      <c r="A4" s="14" t="s">
        <v>181</v>
      </c>
      <c r="B4" s="15">
        <v>80.099999999999994</v>
      </c>
      <c r="C4" s="15">
        <v>78</v>
      </c>
      <c r="D4" s="15">
        <v>73.3</v>
      </c>
      <c r="E4" s="16">
        <v>73.7</v>
      </c>
      <c r="F4" s="12">
        <f t="shared" ref="F4:F5" si="0">SUM(B4:E4)</f>
        <v>305.09999999999997</v>
      </c>
      <c r="G4" s="16">
        <v>73.400000000000006</v>
      </c>
      <c r="H4" s="16">
        <v>76.3</v>
      </c>
      <c r="I4" s="16">
        <v>71.5</v>
      </c>
      <c r="J4" s="16">
        <v>65</v>
      </c>
      <c r="K4" s="16">
        <v>286.2</v>
      </c>
      <c r="L4" s="16">
        <v>109.1</v>
      </c>
      <c r="M4" s="16">
        <v>110.7</v>
      </c>
      <c r="N4" s="16">
        <v>135.9</v>
      </c>
      <c r="O4" s="12">
        <v>166.2</v>
      </c>
      <c r="P4" s="12">
        <v>521.9</v>
      </c>
      <c r="Q4" s="12">
        <v>212.7</v>
      </c>
      <c r="R4" s="12">
        <v>187.6</v>
      </c>
      <c r="S4" s="12">
        <v>180.9</v>
      </c>
      <c r="T4" s="12">
        <v>223.4</v>
      </c>
      <c r="U4" s="12">
        <f t="shared" ref="U4:U5" si="1">SUM(Q4:T4)</f>
        <v>804.59999999999991</v>
      </c>
      <c r="V4" s="12">
        <v>172.2</v>
      </c>
      <c r="W4" s="12">
        <f>134.3-2.2</f>
        <v>132.10000000000002</v>
      </c>
      <c r="X4" s="12">
        <v>118.6</v>
      </c>
      <c r="Y4" s="12">
        <v>149.19999999999999</v>
      </c>
      <c r="Z4" s="12">
        <f t="shared" ref="Z4:Z5" si="2">SUM(V4:Y4)</f>
        <v>572.09999999999991</v>
      </c>
      <c r="AA4" s="12">
        <v>126.5</v>
      </c>
      <c r="AB4" s="12">
        <v>127.9</v>
      </c>
      <c r="AC4" s="12">
        <v>132.30000000000001</v>
      </c>
      <c r="AD4" s="12">
        <v>145.1</v>
      </c>
      <c r="AE4" s="12">
        <f t="shared" ref="AE4:AE5" si="3">+AA4+AB4+AC4+AD4</f>
        <v>531.80000000000007</v>
      </c>
      <c r="AF4" s="12">
        <v>132.90000000000003</v>
      </c>
      <c r="AG4" s="12">
        <v>132.6</v>
      </c>
      <c r="AH4" s="12">
        <v>144.30000000000001</v>
      </c>
      <c r="AI4" s="12">
        <v>147.5</v>
      </c>
      <c r="AJ4" s="12">
        <f t="shared" ref="AJ4:AJ5" si="4">SUM(AF4:AI4)</f>
        <v>557.29999999999995</v>
      </c>
      <c r="AK4" s="12">
        <v>136.4</v>
      </c>
      <c r="AL4" s="12">
        <f>133.6+4</f>
        <v>137.6</v>
      </c>
      <c r="AM4" s="12">
        <v>125.6</v>
      </c>
      <c r="AN4" s="12">
        <v>139.6</v>
      </c>
      <c r="AO4" s="12">
        <f>SUM(AK4:AN4)</f>
        <v>539.20000000000005</v>
      </c>
      <c r="AP4" s="12">
        <v>141.5</v>
      </c>
      <c r="AQ4" s="12">
        <v>125.1</v>
      </c>
      <c r="AR4" s="12">
        <v>123.4</v>
      </c>
      <c r="AS4" s="12">
        <f>AT4-AR4-AQ4-AP4</f>
        <v>107.79999999999998</v>
      </c>
      <c r="AT4" s="12">
        <v>497.8</v>
      </c>
      <c r="AU4" s="12">
        <v>95.3</v>
      </c>
      <c r="AV4" s="13">
        <v>96.3</v>
      </c>
    </row>
    <row r="5" spans="1:48" ht="13.5" customHeight="1" x14ac:dyDescent="0.25">
      <c r="A5" s="14" t="s">
        <v>182</v>
      </c>
      <c r="B5" s="12">
        <v>25.8</v>
      </c>
      <c r="C5" s="12">
        <v>26.1</v>
      </c>
      <c r="D5" s="12">
        <v>28.4</v>
      </c>
      <c r="E5" s="12">
        <v>26.9</v>
      </c>
      <c r="F5" s="12">
        <f t="shared" si="0"/>
        <v>107.20000000000002</v>
      </c>
      <c r="G5" s="12">
        <v>25.9</v>
      </c>
      <c r="H5" s="12">
        <v>25.6</v>
      </c>
      <c r="I5" s="12">
        <v>26.3</v>
      </c>
      <c r="J5" s="12">
        <v>28</v>
      </c>
      <c r="K5" s="12">
        <v>105.8</v>
      </c>
      <c r="L5" s="12">
        <v>28.8</v>
      </c>
      <c r="M5" s="12">
        <v>28.9</v>
      </c>
      <c r="N5" s="12">
        <v>30.1</v>
      </c>
      <c r="O5" s="12">
        <v>30.8</v>
      </c>
      <c r="P5" s="12">
        <v>118.6</v>
      </c>
      <c r="Q5" s="12">
        <v>27.1</v>
      </c>
      <c r="R5" s="12">
        <v>34.299999999999997</v>
      </c>
      <c r="S5" s="12">
        <v>25.2</v>
      </c>
      <c r="T5" s="12">
        <v>21.6</v>
      </c>
      <c r="U5" s="12">
        <f t="shared" si="1"/>
        <v>108.19999999999999</v>
      </c>
      <c r="V5" s="12">
        <v>20.8</v>
      </c>
      <c r="W5" s="12">
        <v>18.7</v>
      </c>
      <c r="X5" s="12">
        <v>24.6</v>
      </c>
      <c r="Y5" s="12">
        <f>31.1-4.2</f>
        <v>26.900000000000002</v>
      </c>
      <c r="Z5" s="12">
        <f t="shared" si="2"/>
        <v>91</v>
      </c>
      <c r="AA5" s="12">
        <v>39.200000000000003</v>
      </c>
      <c r="AB5" s="12">
        <v>33.6</v>
      </c>
      <c r="AC5" s="12">
        <v>26.2</v>
      </c>
      <c r="AD5" s="12">
        <v>21.3</v>
      </c>
      <c r="AE5" s="12">
        <f t="shared" si="3"/>
        <v>120.30000000000001</v>
      </c>
      <c r="AF5" s="12">
        <v>21.4</v>
      </c>
      <c r="AG5" s="12">
        <v>17.100000000000001</v>
      </c>
      <c r="AH5" s="12">
        <v>3.7</v>
      </c>
      <c r="AI5" s="12">
        <v>2.9</v>
      </c>
      <c r="AJ5" s="12">
        <f t="shared" si="4"/>
        <v>45.1</v>
      </c>
      <c r="AK5" s="12">
        <v>2.4</v>
      </c>
      <c r="AL5" s="12">
        <v>1.5</v>
      </c>
      <c r="AM5" s="12">
        <v>3</v>
      </c>
      <c r="AN5" s="12">
        <v>2.1</v>
      </c>
      <c r="AO5" s="12">
        <f>SUM(AK5:AN5)</f>
        <v>9</v>
      </c>
      <c r="AP5" s="12">
        <v>0.4</v>
      </c>
      <c r="AQ5" s="12">
        <v>0.6</v>
      </c>
      <c r="AR5" s="12">
        <v>0.9</v>
      </c>
      <c r="AS5" s="150">
        <f>AT5-AR5-AQ5-AP5</f>
        <v>0.80000000000000016</v>
      </c>
      <c r="AT5" s="150">
        <v>2.7</v>
      </c>
      <c r="AU5" s="150">
        <v>1.3</v>
      </c>
      <c r="AV5" s="179">
        <v>0.7</v>
      </c>
    </row>
    <row r="6" spans="1:48" ht="13.5" customHeight="1" x14ac:dyDescent="0.25">
      <c r="A6" s="17" t="s">
        <v>183</v>
      </c>
      <c r="B6" s="18">
        <f t="shared" ref="B6:N6" si="5">SUM(B3:B5)</f>
        <v>214.4</v>
      </c>
      <c r="C6" s="18">
        <f t="shared" ref="C6:E6" si="6">SUM(C3:C5)</f>
        <v>172.5</v>
      </c>
      <c r="D6" s="18">
        <f t="shared" si="6"/>
        <v>159.6</v>
      </c>
      <c r="E6" s="18">
        <f t="shared" si="6"/>
        <v>298.2</v>
      </c>
      <c r="F6" s="18">
        <f t="shared" si="5"/>
        <v>844.7</v>
      </c>
      <c r="G6" s="18">
        <f t="shared" si="5"/>
        <v>159.6</v>
      </c>
      <c r="H6" s="18">
        <f t="shared" si="5"/>
        <v>163.4</v>
      </c>
      <c r="I6" s="18">
        <f t="shared" si="5"/>
        <v>152.70000000000002</v>
      </c>
      <c r="J6" s="18">
        <f t="shared" si="5"/>
        <v>150.30000000000001</v>
      </c>
      <c r="K6" s="18">
        <f t="shared" si="5"/>
        <v>626</v>
      </c>
      <c r="L6" s="18">
        <f t="shared" si="5"/>
        <v>192.5</v>
      </c>
      <c r="M6" s="18">
        <f t="shared" si="5"/>
        <v>200.20000000000002</v>
      </c>
      <c r="N6" s="18">
        <f t="shared" si="5"/>
        <v>222.29999999999998</v>
      </c>
      <c r="O6" s="18">
        <f t="shared" ref="O6:P6" si="7">SUM(O3:O5)</f>
        <v>255.4</v>
      </c>
      <c r="P6" s="18">
        <f t="shared" si="7"/>
        <v>870.4</v>
      </c>
      <c r="Q6" s="18">
        <f t="shared" ref="Q6:R6" si="8">SUM(Q3:Q5)</f>
        <v>296.40000000000003</v>
      </c>
      <c r="R6" s="18">
        <f t="shared" si="8"/>
        <v>286</v>
      </c>
      <c r="S6" s="18">
        <f t="shared" ref="S6:T6" si="9">SUM(S3:S5)</f>
        <v>267.2</v>
      </c>
      <c r="T6" s="18">
        <f t="shared" si="9"/>
        <v>303.40000000000003</v>
      </c>
      <c r="U6" s="18">
        <f t="shared" ref="U6:V6" si="10">SUM(U3:U5)</f>
        <v>1153</v>
      </c>
      <c r="V6" s="18">
        <f t="shared" si="10"/>
        <v>257.7</v>
      </c>
      <c r="W6" s="18">
        <f t="shared" ref="W6:X6" si="11">SUM(W3:W5)</f>
        <v>211</v>
      </c>
      <c r="X6" s="18">
        <f t="shared" si="11"/>
        <v>195.1</v>
      </c>
      <c r="Y6" s="18">
        <f t="shared" ref="Y6:Z6" si="12">SUM(Y3:Y5)</f>
        <v>222.5</v>
      </c>
      <c r="Z6" s="18">
        <f t="shared" si="12"/>
        <v>886.3</v>
      </c>
      <c r="AA6" s="18">
        <f t="shared" ref="AA6:AB6" si="13">SUM(AA3:AA5)</f>
        <v>218.89999999999998</v>
      </c>
      <c r="AB6" s="18">
        <f t="shared" si="13"/>
        <v>207.79999999999998</v>
      </c>
      <c r="AC6" s="18">
        <f t="shared" ref="AC6:AD6" si="14">SUM(AC3:AC5)</f>
        <v>199.6</v>
      </c>
      <c r="AD6" s="18">
        <f t="shared" si="14"/>
        <v>203</v>
      </c>
      <c r="AE6" s="18">
        <f t="shared" ref="AE6:AF6" si="15">SUM(AE3:AE5)</f>
        <v>829.3</v>
      </c>
      <c r="AF6" s="18">
        <f t="shared" si="15"/>
        <v>193.60000000000005</v>
      </c>
      <c r="AG6" s="18">
        <f t="shared" ref="AG6:AH6" si="16">SUM(AG3:AG5)</f>
        <v>192.79999999999998</v>
      </c>
      <c r="AH6" s="18">
        <f t="shared" si="16"/>
        <v>176.5</v>
      </c>
      <c r="AI6" s="18">
        <f t="shared" ref="AI6:AK6" si="17">SUM(AI3:AI5)</f>
        <v>211.20000000000002</v>
      </c>
      <c r="AJ6" s="18">
        <f>SUM(AJ3:AJ5)</f>
        <v>774.1</v>
      </c>
      <c r="AK6" s="18">
        <f t="shared" si="17"/>
        <v>166.3</v>
      </c>
      <c r="AL6" s="18">
        <f t="shared" ref="AL6:AM6" si="18">SUM(AL3:AL5)</f>
        <v>166.1</v>
      </c>
      <c r="AM6" s="18">
        <f t="shared" si="18"/>
        <v>156.4</v>
      </c>
      <c r="AN6" s="18">
        <f t="shared" ref="AN6:AO6" si="19">SUM(AN3:AN5)</f>
        <v>170.39999999999998</v>
      </c>
      <c r="AO6" s="18">
        <f t="shared" si="19"/>
        <v>659.2</v>
      </c>
      <c r="AP6" s="18">
        <f t="shared" ref="AP6:AQ6" si="20">SUM(AP3:AP5)</f>
        <v>168.6</v>
      </c>
      <c r="AQ6" s="18">
        <f t="shared" si="20"/>
        <v>151.89999999999998</v>
      </c>
      <c r="AR6" s="18">
        <f t="shared" ref="AR6:AS6" si="21">SUM(AR3:AR5)</f>
        <v>150.9</v>
      </c>
      <c r="AS6" s="18">
        <f t="shared" si="21"/>
        <v>135.29999999999998</v>
      </c>
      <c r="AT6" s="18">
        <f t="shared" ref="AT6:AU6" si="22">SUM(AT3:AT5)</f>
        <v>606.70000000000005</v>
      </c>
      <c r="AU6" s="18">
        <f t="shared" si="22"/>
        <v>153.4</v>
      </c>
      <c r="AV6" s="18">
        <f t="shared" ref="AV6" si="23">SUM(AV3:AV5)</f>
        <v>127.8</v>
      </c>
    </row>
    <row r="8" spans="1:48" ht="13.5" customHeight="1" x14ac:dyDescent="0.25">
      <c r="A8" s="93"/>
      <c r="B8" s="94" t="s">
        <v>0</v>
      </c>
      <c r="C8" s="94" t="s">
        <v>1</v>
      </c>
      <c r="D8" s="94" t="s">
        <v>2</v>
      </c>
      <c r="E8" s="94" t="s">
        <v>3</v>
      </c>
      <c r="F8" s="94" t="s">
        <v>4</v>
      </c>
      <c r="G8" s="94" t="s">
        <v>110</v>
      </c>
      <c r="H8" s="94" t="s">
        <v>111</v>
      </c>
      <c r="I8" s="94" t="s">
        <v>112</v>
      </c>
      <c r="J8" s="94" t="s">
        <v>113</v>
      </c>
      <c r="K8" s="94" t="s">
        <v>114</v>
      </c>
      <c r="L8" s="94" t="s">
        <v>115</v>
      </c>
      <c r="M8" s="94" t="s">
        <v>116</v>
      </c>
      <c r="N8" s="94" t="s">
        <v>117</v>
      </c>
      <c r="O8" s="94" t="s">
        <v>118</v>
      </c>
      <c r="P8" s="94" t="s">
        <v>119</v>
      </c>
      <c r="Q8" s="94" t="s">
        <v>120</v>
      </c>
      <c r="R8" s="94" t="s">
        <v>121</v>
      </c>
      <c r="S8" s="94" t="str">
        <f t="shared" ref="S8:X8" si="24">+S2</f>
        <v>Q3 2019</v>
      </c>
      <c r="T8" s="94" t="str">
        <f t="shared" si="24"/>
        <v>Q4 2019</v>
      </c>
      <c r="U8" s="94" t="str">
        <f t="shared" si="24"/>
        <v>FY 2019</v>
      </c>
      <c r="V8" s="94" t="str">
        <f t="shared" si="24"/>
        <v>Q1 2020</v>
      </c>
      <c r="W8" s="94" t="str">
        <f t="shared" si="24"/>
        <v>Q2 2020</v>
      </c>
      <c r="X8" s="94" t="str">
        <f t="shared" si="24"/>
        <v>Q3 2020</v>
      </c>
      <c r="Y8" s="94" t="str">
        <f t="shared" ref="Y8:Z8" si="25">+Y2</f>
        <v>Q4 2020</v>
      </c>
      <c r="Z8" s="94" t="str">
        <f t="shared" si="25"/>
        <v>FY 2020</v>
      </c>
      <c r="AA8" s="94" t="str">
        <f t="shared" ref="AA8:AB8" si="26">+AA2</f>
        <v>Q1 2021</v>
      </c>
      <c r="AB8" s="94" t="str">
        <f t="shared" si="26"/>
        <v>Q2 2021</v>
      </c>
      <c r="AC8" s="94" t="str">
        <f t="shared" ref="AC8:AD8" si="27">+AC2</f>
        <v>Q3 2021</v>
      </c>
      <c r="AD8" s="94" t="str">
        <f t="shared" si="27"/>
        <v>Q4 2021</v>
      </c>
      <c r="AE8" s="94" t="str">
        <f t="shared" ref="AE8:AF8" si="28">+AE2</f>
        <v>FY 2021</v>
      </c>
      <c r="AF8" s="94" t="str">
        <f t="shared" si="28"/>
        <v>Q1 2022</v>
      </c>
      <c r="AG8" s="94" t="str">
        <f t="shared" ref="AG8:AH8" si="29">+AG2</f>
        <v>Q2 2022</v>
      </c>
      <c r="AH8" s="94" t="str">
        <f t="shared" si="29"/>
        <v>Q3 2022</v>
      </c>
      <c r="AI8" s="94" t="str">
        <f t="shared" ref="AI8:AJ8" si="30">+AI2</f>
        <v>Q4 2022</v>
      </c>
      <c r="AJ8" s="94" t="str">
        <f t="shared" si="30"/>
        <v>FY 2022</v>
      </c>
      <c r="AK8" s="94" t="str">
        <f t="shared" ref="AK8:AL8" si="31">+AK2</f>
        <v>Q1 2023</v>
      </c>
      <c r="AL8" s="94" t="str">
        <f t="shared" si="31"/>
        <v>Q2 2023</v>
      </c>
      <c r="AM8" s="94" t="str">
        <f t="shared" ref="AM8:AN8" si="32">+AM2</f>
        <v>Q3 2023</v>
      </c>
      <c r="AN8" s="94" t="str">
        <f t="shared" si="32"/>
        <v>Q4 2023</v>
      </c>
      <c r="AO8" s="94" t="str">
        <f t="shared" ref="AO8:AQ8" si="33">+AO2</f>
        <v>FY 2023</v>
      </c>
      <c r="AP8" s="94" t="str">
        <f t="shared" si="33"/>
        <v>Q1 2024</v>
      </c>
      <c r="AQ8" s="94" t="str">
        <f t="shared" si="33"/>
        <v>Q2 2024</v>
      </c>
      <c r="AR8" s="94" t="str">
        <f t="shared" ref="AR8" si="34">+AR2</f>
        <v>Q3 2024</v>
      </c>
      <c r="AS8" s="94" t="str">
        <f t="shared" ref="AS8:AT8" si="35">+AS2</f>
        <v>Q4 2024</v>
      </c>
      <c r="AT8" s="94" t="str">
        <f t="shared" si="35"/>
        <v>FY 2024</v>
      </c>
      <c r="AU8" s="94" t="str">
        <f t="shared" ref="AU8:AV8" si="36">+AU2</f>
        <v>Q1 2025</v>
      </c>
      <c r="AV8" s="94" t="str">
        <f t="shared" si="36"/>
        <v>Q2 2025</v>
      </c>
    </row>
    <row r="9" spans="1:48" ht="13.5" customHeight="1" x14ac:dyDescent="0.25">
      <c r="A9" s="11" t="s">
        <v>180</v>
      </c>
      <c r="B9" s="12">
        <v>944.9</v>
      </c>
      <c r="C9" s="12">
        <v>949.3</v>
      </c>
      <c r="D9" s="12">
        <v>939.1</v>
      </c>
      <c r="E9" s="12">
        <v>766.4</v>
      </c>
      <c r="F9" s="12">
        <f>+E9</f>
        <v>766.4</v>
      </c>
      <c r="G9" s="12">
        <v>750.6</v>
      </c>
      <c r="H9" s="12">
        <v>735.1</v>
      </c>
      <c r="I9" s="12">
        <v>720.2</v>
      </c>
      <c r="J9" s="12">
        <v>704.4</v>
      </c>
      <c r="K9" s="12">
        <v>704.4</v>
      </c>
      <c r="L9" s="12">
        <v>688.8</v>
      </c>
      <c r="M9" s="12">
        <v>673</v>
      </c>
      <c r="N9" s="12">
        <v>656.9</v>
      </c>
      <c r="O9" s="12">
        <v>640.20000000000005</v>
      </c>
      <c r="P9" s="12">
        <v>640.20000000000005</v>
      </c>
      <c r="Q9" s="12">
        <v>633.6</v>
      </c>
      <c r="R9" s="12">
        <v>628.70000000000005</v>
      </c>
      <c r="S9" s="12">
        <v>647.29999999999995</v>
      </c>
      <c r="T9" s="12">
        <v>635.70000000000005</v>
      </c>
      <c r="U9" s="12">
        <v>635.70000000000005</v>
      </c>
      <c r="V9" s="12">
        <v>491.3</v>
      </c>
      <c r="W9" s="12">
        <v>480.9</v>
      </c>
      <c r="X9" s="12">
        <v>470.5</v>
      </c>
      <c r="Y9" s="12">
        <v>435.8</v>
      </c>
      <c r="Z9" s="12">
        <f>+Y9</f>
        <v>435.8</v>
      </c>
      <c r="AA9" s="12">
        <v>423.2</v>
      </c>
      <c r="AB9" s="12">
        <v>410.1</v>
      </c>
      <c r="AC9" s="12">
        <v>402.9</v>
      </c>
      <c r="AD9" s="12">
        <v>340.5</v>
      </c>
      <c r="AE9" s="12">
        <f>+AD9</f>
        <v>340.5</v>
      </c>
      <c r="AF9" s="12">
        <v>339.2</v>
      </c>
      <c r="AG9" s="12">
        <v>326.89999999999998</v>
      </c>
      <c r="AH9" s="12">
        <v>325.3</v>
      </c>
      <c r="AI9" s="12">
        <v>301.8</v>
      </c>
      <c r="AJ9" s="12">
        <v>213.3</v>
      </c>
      <c r="AK9" s="12">
        <v>199.3</v>
      </c>
      <c r="AL9" s="12">
        <v>189.3</v>
      </c>
      <c r="AM9" s="12">
        <v>177.5</v>
      </c>
      <c r="AN9" s="12">
        <v>165.9</v>
      </c>
      <c r="AO9" s="12">
        <f>AN9</f>
        <v>165.9</v>
      </c>
      <c r="AP9" s="12">
        <v>153.1</v>
      </c>
      <c r="AQ9" s="12">
        <v>141.19999999999999</v>
      </c>
      <c r="AR9" s="12">
        <v>129.19999999999999</v>
      </c>
      <c r="AS9" s="12">
        <v>129.69999999999999</v>
      </c>
      <c r="AT9" s="12">
        <v>129.69999999999999</v>
      </c>
      <c r="AU9" s="12">
        <v>16.2</v>
      </c>
      <c r="AV9" s="13">
        <v>1.8</v>
      </c>
    </row>
    <row r="10" spans="1:48" ht="13.5" customHeight="1" x14ac:dyDescent="0.25">
      <c r="A10" s="14" t="s">
        <v>181</v>
      </c>
      <c r="B10" s="15">
        <v>1271.7</v>
      </c>
      <c r="C10" s="15">
        <v>1337.7</v>
      </c>
      <c r="D10" s="15">
        <v>1418.5</v>
      </c>
      <c r="E10" s="15">
        <v>1399</v>
      </c>
      <c r="F10" s="12">
        <f t="shared" ref="F10:F11" si="37">+E10</f>
        <v>1399</v>
      </c>
      <c r="G10" s="16">
        <v>1425.3</v>
      </c>
      <c r="H10" s="16">
        <v>1483</v>
      </c>
      <c r="I10" s="16">
        <v>1625.2</v>
      </c>
      <c r="J10" s="16">
        <v>1716.4</v>
      </c>
      <c r="K10" s="16">
        <v>1716.4</v>
      </c>
      <c r="L10" s="16">
        <v>1748.7</v>
      </c>
      <c r="M10" s="16">
        <v>1762.2</v>
      </c>
      <c r="N10" s="16">
        <v>2046.4</v>
      </c>
      <c r="O10" s="12">
        <v>1986.2</v>
      </c>
      <c r="P10" s="12">
        <v>1986.2</v>
      </c>
      <c r="Q10" s="12">
        <v>1955.1</v>
      </c>
      <c r="R10" s="12">
        <v>1913.8</v>
      </c>
      <c r="S10" s="12">
        <v>1899</v>
      </c>
      <c r="T10" s="12">
        <v>1884</v>
      </c>
      <c r="U10" s="12">
        <v>1884</v>
      </c>
      <c r="V10" s="12">
        <v>1475.6</v>
      </c>
      <c r="W10" s="12">
        <v>1439.6</v>
      </c>
      <c r="X10" s="12">
        <v>1400.4</v>
      </c>
      <c r="Y10" s="12">
        <v>1332.3</v>
      </c>
      <c r="Z10" s="12">
        <f t="shared" ref="Z10:Z11" si="38">+Y10</f>
        <v>1332.3</v>
      </c>
      <c r="AA10" s="12">
        <v>1378.1</v>
      </c>
      <c r="AB10" s="12">
        <f>1357.1-1.6</f>
        <v>1355.5</v>
      </c>
      <c r="AC10" s="12">
        <v>1319.2</v>
      </c>
      <c r="AD10" s="12">
        <v>1240.2</v>
      </c>
      <c r="AE10" s="12">
        <f>+AD10</f>
        <v>1240.2</v>
      </c>
      <c r="AF10" s="12">
        <v>1200.3</v>
      </c>
      <c r="AG10" s="12">
        <v>1319.2</v>
      </c>
      <c r="AH10" s="12">
        <v>1319.2</v>
      </c>
      <c r="AI10" s="12">
        <v>1109.8</v>
      </c>
      <c r="AJ10" s="12">
        <f t="shared" ref="AJ10" si="39">AI10</f>
        <v>1109.8</v>
      </c>
      <c r="AK10" s="12">
        <v>1319.2</v>
      </c>
      <c r="AL10" s="12">
        <v>1319.2</v>
      </c>
      <c r="AM10" s="12">
        <v>976.3</v>
      </c>
      <c r="AN10" s="12">
        <v>948.3</v>
      </c>
      <c r="AO10" s="12">
        <f>AN10</f>
        <v>948.3</v>
      </c>
      <c r="AP10" s="12">
        <v>906.5</v>
      </c>
      <c r="AQ10" s="12">
        <v>873.9</v>
      </c>
      <c r="AR10" s="12">
        <v>845</v>
      </c>
      <c r="AS10" s="12">
        <v>811.5</v>
      </c>
      <c r="AT10" s="12">
        <v>811.5</v>
      </c>
      <c r="AU10" s="12">
        <v>795.4</v>
      </c>
      <c r="AV10" s="13">
        <v>783.2</v>
      </c>
    </row>
    <row r="11" spans="1:48" ht="13.5" customHeight="1" x14ac:dyDescent="0.25">
      <c r="A11" s="14" t="s">
        <v>182</v>
      </c>
      <c r="B11" s="12">
        <v>522.5</v>
      </c>
      <c r="C11" s="12">
        <v>510.6</v>
      </c>
      <c r="D11" s="12">
        <v>499.6</v>
      </c>
      <c r="E11" s="12">
        <v>488</v>
      </c>
      <c r="F11" s="12">
        <f t="shared" si="37"/>
        <v>488</v>
      </c>
      <c r="G11" s="12">
        <v>475.6</v>
      </c>
      <c r="H11" s="12">
        <v>466.3</v>
      </c>
      <c r="I11" s="12">
        <v>459.7</v>
      </c>
      <c r="J11" s="12">
        <v>467.7</v>
      </c>
      <c r="K11" s="12">
        <v>467.7</v>
      </c>
      <c r="L11" s="12">
        <v>467.2</v>
      </c>
      <c r="M11" s="12">
        <v>477.4</v>
      </c>
      <c r="N11" s="12">
        <v>245.7</v>
      </c>
      <c r="O11" s="12">
        <v>222.6</v>
      </c>
      <c r="P11" s="12">
        <v>222.6</v>
      </c>
      <c r="Q11" s="12">
        <v>227.6</v>
      </c>
      <c r="R11" s="12">
        <v>219.3</v>
      </c>
      <c r="S11" s="12">
        <v>211</v>
      </c>
      <c r="T11" s="12">
        <v>212.5</v>
      </c>
      <c r="U11" s="12">
        <v>212.5</v>
      </c>
      <c r="V11" s="12">
        <v>166</v>
      </c>
      <c r="W11" s="12">
        <v>157.80000000000001</v>
      </c>
      <c r="X11" s="12">
        <v>153.9</v>
      </c>
      <c r="Y11" s="12">
        <v>150.9</v>
      </c>
      <c r="Z11" s="12">
        <f t="shared" si="38"/>
        <v>150.9</v>
      </c>
      <c r="AA11" s="150">
        <v>1378.1</v>
      </c>
      <c r="AB11" s="150">
        <v>1378.1</v>
      </c>
      <c r="AC11" s="150">
        <v>1378.1</v>
      </c>
      <c r="AD11" s="12">
        <v>391.5</v>
      </c>
      <c r="AE11" s="12">
        <f t="shared" ref="AE11" si="40">+AD11</f>
        <v>391.5</v>
      </c>
      <c r="AF11" s="12">
        <v>501.59999999999997</v>
      </c>
      <c r="AG11" s="150">
        <v>1378.1</v>
      </c>
      <c r="AH11" s="150">
        <v>1378.1</v>
      </c>
      <c r="AI11" s="12">
        <v>1100.2</v>
      </c>
      <c r="AJ11" s="12">
        <v>1188.7</v>
      </c>
      <c r="AK11" s="150">
        <v>1378.1</v>
      </c>
      <c r="AL11" s="150">
        <v>1378.1</v>
      </c>
      <c r="AM11" s="150">
        <v>1610.9</v>
      </c>
      <c r="AN11" s="150">
        <v>1823.6</v>
      </c>
      <c r="AO11" s="12">
        <f>AN11</f>
        <v>1823.6</v>
      </c>
      <c r="AP11" s="150">
        <v>1943.3</v>
      </c>
      <c r="AQ11" s="150">
        <v>2064.6999999999998</v>
      </c>
      <c r="AR11" s="150">
        <v>2173.9</v>
      </c>
      <c r="AS11" s="150">
        <v>2301.3000000000002</v>
      </c>
      <c r="AT11" s="150">
        <v>2301.3000000000002</v>
      </c>
      <c r="AU11" s="150">
        <v>2381.6999999999998</v>
      </c>
      <c r="AV11" s="179">
        <v>2544.6</v>
      </c>
    </row>
    <row r="12" spans="1:48" ht="13.5" customHeight="1" x14ac:dyDescent="0.25">
      <c r="A12" s="17" t="s">
        <v>184</v>
      </c>
      <c r="B12" s="18">
        <f t="shared" ref="B12:N12" si="41">SUM(B9:B11)</f>
        <v>2739.1</v>
      </c>
      <c r="C12" s="18">
        <f t="shared" ref="C12:E12" si="42">SUM(C9:C11)</f>
        <v>2797.6</v>
      </c>
      <c r="D12" s="18">
        <f t="shared" si="42"/>
        <v>2857.2</v>
      </c>
      <c r="E12" s="18">
        <f t="shared" si="42"/>
        <v>2653.4</v>
      </c>
      <c r="F12" s="18">
        <f t="shared" si="41"/>
        <v>2653.4</v>
      </c>
      <c r="G12" s="18">
        <f t="shared" si="41"/>
        <v>2651.5</v>
      </c>
      <c r="H12" s="18">
        <f t="shared" si="41"/>
        <v>2684.4</v>
      </c>
      <c r="I12" s="18">
        <f t="shared" si="41"/>
        <v>2805.1</v>
      </c>
      <c r="J12" s="18">
        <f t="shared" si="41"/>
        <v>2888.5</v>
      </c>
      <c r="K12" s="18">
        <f t="shared" si="41"/>
        <v>2888.5</v>
      </c>
      <c r="L12" s="18">
        <f t="shared" si="41"/>
        <v>2904.7</v>
      </c>
      <c r="M12" s="18">
        <f t="shared" si="41"/>
        <v>2912.6</v>
      </c>
      <c r="N12" s="18">
        <f t="shared" si="41"/>
        <v>2949</v>
      </c>
      <c r="O12" s="18">
        <f t="shared" ref="O12:P12" si="43">SUM(O9:O11)</f>
        <v>2849</v>
      </c>
      <c r="P12" s="18">
        <f t="shared" si="43"/>
        <v>2849</v>
      </c>
      <c r="Q12" s="18">
        <f t="shared" ref="Q12:R12" si="44">SUM(Q9:Q11)</f>
        <v>2816.2999999999997</v>
      </c>
      <c r="R12" s="18">
        <f t="shared" si="44"/>
        <v>2761.8</v>
      </c>
      <c r="S12" s="18">
        <f t="shared" ref="S12:T12" si="45">SUM(S9:S11)</f>
        <v>2757.3</v>
      </c>
      <c r="T12" s="18">
        <f t="shared" si="45"/>
        <v>2732.2</v>
      </c>
      <c r="U12" s="18">
        <f t="shared" ref="U12:V12" si="46">SUM(U9:U11)</f>
        <v>2732.2</v>
      </c>
      <c r="V12" s="18">
        <f t="shared" si="46"/>
        <v>2132.8999999999996</v>
      </c>
      <c r="W12" s="18">
        <f t="shared" ref="W12:X12" si="47">SUM(W9:W11)</f>
        <v>2078.3000000000002</v>
      </c>
      <c r="X12" s="18">
        <f t="shared" si="47"/>
        <v>2024.8000000000002</v>
      </c>
      <c r="Y12" s="18">
        <f t="shared" ref="Y12:Z12" si="48">SUM(Y9:Y11)</f>
        <v>1919</v>
      </c>
      <c r="Z12" s="18">
        <f t="shared" si="48"/>
        <v>1919</v>
      </c>
      <c r="AA12" s="18">
        <f t="shared" ref="AA12:AB12" si="49">SUM(AA9:AA11)</f>
        <v>3179.3999999999996</v>
      </c>
      <c r="AB12" s="18">
        <f t="shared" si="49"/>
        <v>3143.7</v>
      </c>
      <c r="AC12" s="18">
        <f t="shared" ref="AC12:AD12" si="50">SUM(AC9:AC11)</f>
        <v>3100.2</v>
      </c>
      <c r="AD12" s="18">
        <f t="shared" si="50"/>
        <v>1972.2</v>
      </c>
      <c r="AE12" s="18">
        <f t="shared" ref="AE12:AF12" si="51">SUM(AE9:AE11)</f>
        <v>1972.2</v>
      </c>
      <c r="AF12" s="18">
        <f t="shared" si="51"/>
        <v>2041.1</v>
      </c>
      <c r="AG12" s="18">
        <f t="shared" ref="AG12:AH12" si="52">SUM(AG9:AG11)</f>
        <v>3024.2</v>
      </c>
      <c r="AH12" s="18">
        <f t="shared" si="52"/>
        <v>3022.6</v>
      </c>
      <c r="AI12" s="18">
        <f t="shared" ref="AI12:AJ12" si="53">SUM(AI9:AI11)</f>
        <v>2511.8000000000002</v>
      </c>
      <c r="AJ12" s="18">
        <f t="shared" si="53"/>
        <v>2511.8000000000002</v>
      </c>
      <c r="AK12" s="18">
        <f t="shared" ref="AK12:AL12" si="54">SUM(AK9:AK11)</f>
        <v>2896.6</v>
      </c>
      <c r="AL12" s="18">
        <f t="shared" si="54"/>
        <v>2886.6</v>
      </c>
      <c r="AM12" s="18">
        <f t="shared" ref="AM12:AN12" si="55">SUM(AM9:AM11)</f>
        <v>2764.7</v>
      </c>
      <c r="AN12" s="18">
        <f t="shared" si="55"/>
        <v>2937.8</v>
      </c>
      <c r="AO12" s="18">
        <f t="shared" ref="AO12:AQ12" si="56">SUM(AO9:AO11)</f>
        <v>2937.8</v>
      </c>
      <c r="AP12" s="18">
        <f t="shared" si="56"/>
        <v>3002.8999999999996</v>
      </c>
      <c r="AQ12" s="18">
        <f t="shared" si="56"/>
        <v>3079.7999999999997</v>
      </c>
      <c r="AR12" s="18">
        <f t="shared" ref="AR12" si="57">SUM(AR9:AR11)</f>
        <v>3148.1000000000004</v>
      </c>
      <c r="AS12" s="18">
        <f t="shared" ref="AS12:AT12" si="58">SUM(AS9:AS11)</f>
        <v>3242.5</v>
      </c>
      <c r="AT12" s="18">
        <f t="shared" si="58"/>
        <v>3242.5</v>
      </c>
      <c r="AU12" s="18">
        <f t="shared" ref="AU12:AV12" si="59">SUM(AU9:AU11)</f>
        <v>3193.2999999999997</v>
      </c>
      <c r="AV12" s="18">
        <f t="shared" si="59"/>
        <v>3329.6</v>
      </c>
    </row>
    <row r="14" spans="1:48" ht="13.5" customHeight="1" x14ac:dyDescent="0.25">
      <c r="A14" s="53" t="s">
        <v>185</v>
      </c>
    </row>
    <row r="19" spans="5:43" ht="13.5" customHeight="1" x14ac:dyDescent="0.25">
      <c r="AL19" s="12"/>
      <c r="AQ19" s="12"/>
    </row>
    <row r="20" spans="5:43" ht="13.5" customHeight="1" x14ac:dyDescent="0.25">
      <c r="E20" s="86"/>
    </row>
    <row r="21" spans="5:43" ht="13.5" customHeight="1" x14ac:dyDescent="0.25">
      <c r="E21" s="86"/>
    </row>
    <row r="22" spans="5:43" ht="13.5" customHeight="1" x14ac:dyDescent="0.25">
      <c r="E22" s="86"/>
    </row>
    <row r="23" spans="5:43" ht="13.5" customHeight="1" x14ac:dyDescent="0.25">
      <c r="E23" s="86"/>
    </row>
    <row r="24" spans="5:43" ht="13.5" customHeight="1" x14ac:dyDescent="0.25">
      <c r="E24" s="86"/>
    </row>
    <row r="25" spans="5:43" ht="13.5" customHeight="1" x14ac:dyDescent="0.25">
      <c r="E25" s="86"/>
    </row>
    <row r="26" spans="5:43" ht="13.5" customHeight="1" x14ac:dyDescent="0.25">
      <c r="E26" s="86"/>
    </row>
    <row r="27" spans="5:43" ht="13.5" customHeight="1" x14ac:dyDescent="0.25">
      <c r="E27" s="86"/>
    </row>
    <row r="28" spans="5:43" ht="13.5" customHeight="1" x14ac:dyDescent="0.25">
      <c r="E28" s="86"/>
    </row>
    <row r="29" spans="5:43" ht="13.5" customHeight="1" x14ac:dyDescent="0.25">
      <c r="E29" s="86"/>
    </row>
    <row r="30" spans="5:43" ht="13.5" customHeight="1" x14ac:dyDescent="0.25">
      <c r="E30" s="86"/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  <pageSetUpPr fitToPage="1"/>
  </sheetPr>
  <dimension ref="A2:AR45"/>
  <sheetViews>
    <sheetView showGridLines="0" tabSelected="1" zoomScale="96" zoomScaleNormal="96" workbookViewId="0">
      <selection activeCell="AM1" sqref="AM1:AM1048576"/>
    </sheetView>
  </sheetViews>
  <sheetFormatPr defaultColWidth="9.140625" defaultRowHeight="15" x14ac:dyDescent="0.25"/>
  <cols>
    <col min="1" max="1" width="50.85546875" bestFit="1" customWidth="1"/>
    <col min="2" max="32" width="10.85546875" hidden="1" customWidth="1"/>
    <col min="33" max="44" width="10.85546875" customWidth="1"/>
  </cols>
  <sheetData>
    <row r="2" spans="1:44" ht="13.5" customHeight="1" x14ac:dyDescent="0.25">
      <c r="A2" s="93"/>
      <c r="B2" s="94" t="s">
        <v>0</v>
      </c>
      <c r="C2" s="94" t="s">
        <v>1</v>
      </c>
      <c r="D2" s="94" t="s">
        <v>2</v>
      </c>
      <c r="E2" s="94" t="s">
        <v>3</v>
      </c>
      <c r="F2" s="94" t="s">
        <v>4</v>
      </c>
      <c r="G2" s="94" t="s">
        <v>110</v>
      </c>
      <c r="H2" s="94" t="s">
        <v>111</v>
      </c>
      <c r="I2" s="94" t="s">
        <v>112</v>
      </c>
      <c r="J2" s="94" t="s">
        <v>113</v>
      </c>
      <c r="K2" s="94" t="s">
        <v>114</v>
      </c>
      <c r="L2" s="94" t="s">
        <v>115</v>
      </c>
      <c r="M2" s="94" t="s">
        <v>116</v>
      </c>
      <c r="N2" s="94" t="s">
        <v>117</v>
      </c>
      <c r="O2" s="94" t="s">
        <v>118</v>
      </c>
      <c r="P2" s="94" t="s">
        <v>119</v>
      </c>
      <c r="Q2" s="94" t="s">
        <v>120</v>
      </c>
      <c r="R2" s="94" t="s">
        <v>121</v>
      </c>
      <c r="S2" s="94" t="s">
        <v>122</v>
      </c>
      <c r="T2" s="94" t="s">
        <v>123</v>
      </c>
      <c r="U2" s="94" t="s">
        <v>124</v>
      </c>
      <c r="V2" s="94" t="s">
        <v>24</v>
      </c>
      <c r="W2" s="94" t="s">
        <v>25</v>
      </c>
      <c r="X2" s="94" t="s">
        <v>26</v>
      </c>
      <c r="Y2" s="94" t="s">
        <v>27</v>
      </c>
      <c r="Z2" s="94" t="s">
        <v>28</v>
      </c>
      <c r="AA2" s="94" t="s">
        <v>29</v>
      </c>
      <c r="AB2" s="94" t="s">
        <v>30</v>
      </c>
      <c r="AC2" s="94" t="s">
        <v>31</v>
      </c>
      <c r="AD2" s="94" t="s">
        <v>32</v>
      </c>
      <c r="AE2" s="94" t="s">
        <v>33</v>
      </c>
      <c r="AF2" s="94" t="s">
        <v>34</v>
      </c>
      <c r="AG2" s="94" t="s">
        <v>198</v>
      </c>
      <c r="AH2" s="94" t="s">
        <v>199</v>
      </c>
      <c r="AI2" s="94" t="s">
        <v>200</v>
      </c>
      <c r="AJ2" s="94" t="s">
        <v>201</v>
      </c>
      <c r="AK2" s="94" t="s">
        <v>202</v>
      </c>
      <c r="AL2" s="94" t="s">
        <v>207</v>
      </c>
      <c r="AM2" s="94" t="s">
        <v>208</v>
      </c>
      <c r="AN2" s="94" t="s">
        <v>209</v>
      </c>
      <c r="AO2" s="94" t="s">
        <v>210</v>
      </c>
      <c r="AP2" s="94" t="s">
        <v>212</v>
      </c>
      <c r="AQ2" s="94" t="s">
        <v>213</v>
      </c>
      <c r="AR2" s="94" t="s">
        <v>216</v>
      </c>
    </row>
    <row r="3" spans="1:44" ht="13.5" customHeight="1" x14ac:dyDescent="0.25">
      <c r="A3" s="11" t="s">
        <v>186</v>
      </c>
      <c r="B3" s="12">
        <v>214.4</v>
      </c>
      <c r="C3" s="12">
        <v>172.5</v>
      </c>
      <c r="D3" s="12">
        <v>159.6</v>
      </c>
      <c r="E3" s="12">
        <v>298.2</v>
      </c>
      <c r="F3" s="12">
        <v>844.7</v>
      </c>
      <c r="G3" s="12">
        <v>159.6</v>
      </c>
      <c r="H3" s="12">
        <v>164.4</v>
      </c>
      <c r="I3" s="12">
        <v>153.6</v>
      </c>
      <c r="J3" s="12">
        <v>151.4</v>
      </c>
      <c r="K3" s="12">
        <v>629</v>
      </c>
      <c r="L3" s="12">
        <v>194.2</v>
      </c>
      <c r="M3" s="12">
        <v>202.7</v>
      </c>
      <c r="N3" s="12">
        <v>218.7</v>
      </c>
      <c r="O3" s="12">
        <v>245.9</v>
      </c>
      <c r="P3" s="12">
        <f>SUM(L3:O3)</f>
        <v>861.49999999999989</v>
      </c>
      <c r="Q3" s="12">
        <v>230.5</v>
      </c>
      <c r="R3" s="12">
        <v>251.2</v>
      </c>
      <c r="S3" s="12">
        <v>237.7</v>
      </c>
      <c r="T3" s="12">
        <v>228</v>
      </c>
      <c r="U3" s="12">
        <f>SUM(Q3:T3)</f>
        <v>947.4</v>
      </c>
      <c r="V3" s="12">
        <v>886.3</v>
      </c>
      <c r="W3" s="12">
        <v>219</v>
      </c>
      <c r="X3" s="12">
        <v>206.4</v>
      </c>
      <c r="Y3" s="12">
        <v>198.1</v>
      </c>
      <c r="Z3" s="12">
        <v>201.7</v>
      </c>
      <c r="AA3" s="12">
        <f>+W3+X3+Y3+Z3</f>
        <v>825.2</v>
      </c>
      <c r="AB3" s="12">
        <v>191.79999999999998</v>
      </c>
      <c r="AC3" s="12">
        <v>190.5</v>
      </c>
      <c r="AD3" s="12">
        <v>174.1</v>
      </c>
      <c r="AE3" s="12">
        <v>208.9</v>
      </c>
      <c r="AF3" s="12">
        <f>SUM(AB3:AE3)</f>
        <v>765.3</v>
      </c>
      <c r="AG3" s="12">
        <v>164.9</v>
      </c>
      <c r="AH3" s="12">
        <f>163.8+0.9</f>
        <v>164.70000000000002</v>
      </c>
      <c r="AI3" s="12">
        <v>155.6</v>
      </c>
      <c r="AJ3" s="12">
        <v>168.1</v>
      </c>
      <c r="AK3" s="12">
        <f>SUM(AG3:AJ3)</f>
        <v>653.30000000000007</v>
      </c>
      <c r="AL3" s="12">
        <v>167.4</v>
      </c>
      <c r="AM3" s="12">
        <v>151.19999999999999</v>
      </c>
      <c r="AN3" s="12">
        <v>150.30000000000001</v>
      </c>
      <c r="AO3" s="12">
        <v>134.80000000000001</v>
      </c>
      <c r="AP3" s="12">
        <f>SUM(AL3:AO3)</f>
        <v>603.70000000000005</v>
      </c>
      <c r="AQ3" s="12">
        <v>151.9</v>
      </c>
      <c r="AR3" s="13">
        <v>127</v>
      </c>
    </row>
    <row r="4" spans="1:44" ht="13.5" hidden="1" customHeight="1" x14ac:dyDescent="0.25">
      <c r="A4" s="14" t="s">
        <v>187</v>
      </c>
      <c r="B4" s="45">
        <v>0</v>
      </c>
      <c r="C4" s="45">
        <v>0</v>
      </c>
      <c r="D4" s="45">
        <v>0</v>
      </c>
      <c r="E4" s="45">
        <v>0</v>
      </c>
      <c r="F4" s="45">
        <v>0</v>
      </c>
      <c r="G4" s="45">
        <v>0</v>
      </c>
      <c r="H4" s="45">
        <v>0</v>
      </c>
      <c r="I4" s="45">
        <v>0</v>
      </c>
      <c r="J4" s="45">
        <v>0</v>
      </c>
      <c r="K4" s="45">
        <v>0</v>
      </c>
      <c r="L4" s="45">
        <v>0</v>
      </c>
      <c r="M4" s="45">
        <v>0</v>
      </c>
      <c r="N4" s="16">
        <v>8.6999999999999993</v>
      </c>
      <c r="O4" s="16">
        <v>30.5</v>
      </c>
      <c r="P4" s="12">
        <f t="shared" ref="P4:P6" si="0">SUM(L4:O4)</f>
        <v>39.200000000000003</v>
      </c>
      <c r="Q4" s="12">
        <v>84</v>
      </c>
      <c r="R4" s="12">
        <v>56.2</v>
      </c>
      <c r="S4" s="12">
        <v>49.5</v>
      </c>
      <c r="T4" s="12">
        <v>92.7</v>
      </c>
      <c r="U4" s="12">
        <f t="shared" ref="U4:U6" si="1">SUM(Q4:T4)</f>
        <v>282.39999999999998</v>
      </c>
      <c r="V4" s="12">
        <v>5.0999999999999996</v>
      </c>
      <c r="W4" s="68">
        <v>0</v>
      </c>
      <c r="X4" s="68">
        <v>0</v>
      </c>
      <c r="Y4" s="68">
        <v>0</v>
      </c>
      <c r="Z4" s="68">
        <v>0</v>
      </c>
      <c r="AA4" s="68">
        <f t="shared" ref="AA4:AA6" si="2">+W4+X4+Y4+Z4</f>
        <v>0</v>
      </c>
      <c r="AB4" s="68">
        <v>0</v>
      </c>
      <c r="AC4" s="68">
        <v>0</v>
      </c>
      <c r="AD4" s="68">
        <v>0</v>
      </c>
      <c r="AE4" s="68">
        <v>0</v>
      </c>
      <c r="AF4" s="68">
        <f t="shared" ref="AF4:AF6" si="3">SUM(AB4:AE4)</f>
        <v>0</v>
      </c>
      <c r="AG4" s="68">
        <v>0</v>
      </c>
      <c r="AH4" s="68">
        <v>0</v>
      </c>
      <c r="AI4" s="68">
        <v>0</v>
      </c>
      <c r="AJ4" s="68">
        <v>0</v>
      </c>
      <c r="AK4" s="68">
        <v>0</v>
      </c>
      <c r="AL4" s="68"/>
      <c r="AM4" s="68"/>
      <c r="AN4" s="68"/>
      <c r="AO4" s="68"/>
      <c r="AP4" s="68"/>
      <c r="AQ4" s="68"/>
      <c r="AR4" s="78"/>
    </row>
    <row r="5" spans="1:44" ht="13.5" customHeight="1" x14ac:dyDescent="0.25">
      <c r="A5" s="14" t="s">
        <v>188</v>
      </c>
      <c r="B5" s="45">
        <v>0</v>
      </c>
      <c r="C5" s="45">
        <v>0</v>
      </c>
      <c r="D5" s="45">
        <v>0</v>
      </c>
      <c r="E5" s="45">
        <v>0</v>
      </c>
      <c r="F5" s="45">
        <v>0</v>
      </c>
      <c r="G5" s="45">
        <v>0</v>
      </c>
      <c r="H5" s="45">
        <v>0</v>
      </c>
      <c r="I5" s="45">
        <v>0</v>
      </c>
      <c r="J5" s="45">
        <v>0</v>
      </c>
      <c r="K5" s="45">
        <v>0</v>
      </c>
      <c r="L5" s="45">
        <v>0</v>
      </c>
      <c r="M5" s="45">
        <v>0</v>
      </c>
      <c r="N5" s="45">
        <v>0</v>
      </c>
      <c r="O5" s="45">
        <v>0</v>
      </c>
      <c r="P5" s="45">
        <v>0</v>
      </c>
      <c r="Q5" s="45">
        <v>0</v>
      </c>
      <c r="R5" s="45">
        <v>0</v>
      </c>
      <c r="S5" s="45">
        <v>0</v>
      </c>
      <c r="T5" s="45">
        <v>0</v>
      </c>
      <c r="U5" s="45">
        <v>0</v>
      </c>
      <c r="V5" s="45">
        <v>0</v>
      </c>
      <c r="W5" s="68">
        <v>0</v>
      </c>
      <c r="X5" s="68">
        <v>1.4</v>
      </c>
      <c r="Y5" s="68">
        <v>1.5</v>
      </c>
      <c r="Z5" s="68">
        <v>1.4</v>
      </c>
      <c r="AA5" s="12">
        <f t="shared" si="2"/>
        <v>4.3</v>
      </c>
      <c r="AB5" s="12">
        <v>1.8</v>
      </c>
      <c r="AC5" s="12">
        <v>2.2999999999999998</v>
      </c>
      <c r="AD5" s="12">
        <v>2.4</v>
      </c>
      <c r="AE5" s="68">
        <v>2.7</v>
      </c>
      <c r="AF5" s="68">
        <f t="shared" si="3"/>
        <v>9.1999999999999993</v>
      </c>
      <c r="AG5" s="68">
        <v>1.4</v>
      </c>
      <c r="AH5" s="68">
        <v>1.4</v>
      </c>
      <c r="AI5" s="68">
        <v>0.8</v>
      </c>
      <c r="AJ5" s="68">
        <v>2.2999999999999998</v>
      </c>
      <c r="AK5" s="68">
        <f>SUM(AG5:AJ5)</f>
        <v>5.8999999999999995</v>
      </c>
      <c r="AL5" s="68">
        <v>1.2</v>
      </c>
      <c r="AM5" s="68">
        <v>0.8</v>
      </c>
      <c r="AN5" s="68">
        <v>0.5</v>
      </c>
      <c r="AO5" s="68">
        <v>0.7</v>
      </c>
      <c r="AP5" s="68">
        <f>SUM(AL5:AO5)-0.1</f>
        <v>3.1</v>
      </c>
      <c r="AQ5" s="68">
        <v>1.5</v>
      </c>
      <c r="AR5" s="13">
        <v>0.8</v>
      </c>
    </row>
    <row r="6" spans="1:44" ht="13.5" customHeight="1" x14ac:dyDescent="0.25">
      <c r="A6" s="14" t="s">
        <v>189</v>
      </c>
      <c r="B6" s="45">
        <v>0</v>
      </c>
      <c r="C6" s="45">
        <v>0</v>
      </c>
      <c r="D6" s="45">
        <v>0</v>
      </c>
      <c r="E6" s="45">
        <v>0</v>
      </c>
      <c r="F6" s="45">
        <v>0</v>
      </c>
      <c r="G6" s="45">
        <v>0</v>
      </c>
      <c r="H6" s="15">
        <v>-1</v>
      </c>
      <c r="I6" s="15">
        <v>-0.9</v>
      </c>
      <c r="J6" s="15">
        <v>-1.1000000000000001</v>
      </c>
      <c r="K6" s="15">
        <v>-3</v>
      </c>
      <c r="L6" s="15">
        <v>-1.7</v>
      </c>
      <c r="M6" s="15">
        <v>-2.5</v>
      </c>
      <c r="N6" s="15">
        <v>-5.0999999999999996</v>
      </c>
      <c r="O6" s="15">
        <v>-21</v>
      </c>
      <c r="P6" s="12">
        <f t="shared" si="0"/>
        <v>-30.3</v>
      </c>
      <c r="Q6" s="12">
        <v>-18.100000000000001</v>
      </c>
      <c r="R6" s="12">
        <v>-21.4</v>
      </c>
      <c r="S6" s="12">
        <v>-20</v>
      </c>
      <c r="T6" s="12">
        <v>-17.3</v>
      </c>
      <c r="U6" s="12">
        <f t="shared" si="1"/>
        <v>-76.8</v>
      </c>
      <c r="V6" s="12">
        <v>-14.2</v>
      </c>
      <c r="W6" s="12">
        <v>-0.1</v>
      </c>
      <c r="X6" s="68">
        <v>0</v>
      </c>
      <c r="Y6" s="68">
        <v>0</v>
      </c>
      <c r="Z6" s="12">
        <v>-0.1</v>
      </c>
      <c r="AA6" s="12">
        <f t="shared" si="2"/>
        <v>-0.2</v>
      </c>
      <c r="AB6" s="68">
        <v>0</v>
      </c>
      <c r="AC6" s="68">
        <v>0</v>
      </c>
      <c r="AD6" s="68">
        <v>0</v>
      </c>
      <c r="AE6" s="12">
        <v>-0.4</v>
      </c>
      <c r="AF6" s="12">
        <f t="shared" si="3"/>
        <v>-0.4</v>
      </c>
      <c r="AG6" s="68">
        <v>0</v>
      </c>
      <c r="AH6" s="68">
        <v>0</v>
      </c>
      <c r="AI6" s="68">
        <v>0</v>
      </c>
      <c r="AJ6" s="68">
        <v>0</v>
      </c>
      <c r="AK6" s="68">
        <v>0</v>
      </c>
      <c r="AL6" s="68">
        <v>0</v>
      </c>
      <c r="AM6" s="68">
        <v>0</v>
      </c>
      <c r="AN6" s="68">
        <v>0</v>
      </c>
      <c r="AO6" s="68">
        <v>-0.1</v>
      </c>
      <c r="AP6" s="68">
        <f>SUM(AL6:AO6)</f>
        <v>-0.1</v>
      </c>
      <c r="AQ6" s="68">
        <v>0</v>
      </c>
      <c r="AR6" s="13">
        <v>0</v>
      </c>
    </row>
    <row r="7" spans="1:44" ht="13.5" customHeight="1" x14ac:dyDescent="0.25">
      <c r="A7" s="17" t="s">
        <v>190</v>
      </c>
      <c r="B7" s="18">
        <f t="shared" ref="B7:P7" si="4">SUM(B3:B6)</f>
        <v>214.4</v>
      </c>
      <c r="C7" s="18">
        <f t="shared" ref="C7:E7" si="5">SUM(C3:C6)</f>
        <v>172.5</v>
      </c>
      <c r="D7" s="18">
        <f t="shared" si="5"/>
        <v>159.6</v>
      </c>
      <c r="E7" s="18">
        <f t="shared" si="5"/>
        <v>298.2</v>
      </c>
      <c r="F7" s="18">
        <f t="shared" ref="F7:M7" si="6">SUM(F3:F6)</f>
        <v>844.7</v>
      </c>
      <c r="G7" s="18">
        <f t="shared" ref="G7:I7" si="7">SUM(G3:G6)</f>
        <v>159.6</v>
      </c>
      <c r="H7" s="18">
        <f t="shared" si="7"/>
        <v>163.4</v>
      </c>
      <c r="I7" s="18">
        <f t="shared" si="7"/>
        <v>152.69999999999999</v>
      </c>
      <c r="J7" s="18">
        <f t="shared" ref="J7:L7" si="8">SUM(J3:J6)</f>
        <v>150.30000000000001</v>
      </c>
      <c r="K7" s="18">
        <f t="shared" si="8"/>
        <v>626</v>
      </c>
      <c r="L7" s="18">
        <f t="shared" si="8"/>
        <v>192.5</v>
      </c>
      <c r="M7" s="18">
        <f t="shared" si="6"/>
        <v>200.2</v>
      </c>
      <c r="N7" s="18">
        <f t="shared" si="4"/>
        <v>222.29999999999998</v>
      </c>
      <c r="O7" s="18">
        <f t="shared" si="4"/>
        <v>255.39999999999998</v>
      </c>
      <c r="P7" s="18">
        <f t="shared" si="4"/>
        <v>870.4</v>
      </c>
      <c r="Q7" s="18">
        <f t="shared" ref="Q7:R7" si="9">SUM(Q3:Q6)</f>
        <v>296.39999999999998</v>
      </c>
      <c r="R7" s="18">
        <f t="shared" si="9"/>
        <v>286</v>
      </c>
      <c r="S7" s="18">
        <f t="shared" ref="S7:T7" si="10">SUM(S3:S6)</f>
        <v>267.2</v>
      </c>
      <c r="T7" s="18">
        <f t="shared" si="10"/>
        <v>303.39999999999998</v>
      </c>
      <c r="U7" s="18">
        <f t="shared" ref="U7:V7" si="11">SUM(U3:U6)</f>
        <v>1153</v>
      </c>
      <c r="V7" s="18">
        <f t="shared" si="11"/>
        <v>877.19999999999993</v>
      </c>
      <c r="W7" s="18">
        <f t="shared" ref="W7:X7" si="12">SUM(W3:W6)</f>
        <v>218.9</v>
      </c>
      <c r="X7" s="18">
        <f t="shared" si="12"/>
        <v>207.8</v>
      </c>
      <c r="Y7" s="18">
        <f t="shared" ref="Y7:Z7" si="13">SUM(Y3:Y6)</f>
        <v>199.6</v>
      </c>
      <c r="Z7" s="18">
        <f t="shared" si="13"/>
        <v>203</v>
      </c>
      <c r="AA7" s="18">
        <f t="shared" ref="AA7:AB7" si="14">SUM(AA3:AA6)</f>
        <v>829.3</v>
      </c>
      <c r="AB7" s="18">
        <f t="shared" si="14"/>
        <v>193.6</v>
      </c>
      <c r="AC7" s="18">
        <f t="shared" ref="AC7:AD7" si="15">SUM(AC3:AC6)</f>
        <v>192.8</v>
      </c>
      <c r="AD7" s="18">
        <f t="shared" si="15"/>
        <v>176.5</v>
      </c>
      <c r="AE7" s="18">
        <f t="shared" ref="AE7:AF7" si="16">SUM(AE3:AE6)</f>
        <v>211.2</v>
      </c>
      <c r="AF7" s="18">
        <f t="shared" si="16"/>
        <v>774.1</v>
      </c>
      <c r="AG7" s="18">
        <f t="shared" ref="AG7:AH7" si="17">SUM(AG3:AG6)</f>
        <v>166.3</v>
      </c>
      <c r="AH7" s="18">
        <f t="shared" si="17"/>
        <v>166.10000000000002</v>
      </c>
      <c r="AI7" s="18">
        <f t="shared" ref="AI7:AJ7" si="18">SUM(AI3:AI6)</f>
        <v>156.4</v>
      </c>
      <c r="AJ7" s="18">
        <f t="shared" si="18"/>
        <v>170.4</v>
      </c>
      <c r="AK7" s="18">
        <f t="shared" ref="AK7:AL7" si="19">SUM(AK3:AK6)</f>
        <v>659.2</v>
      </c>
      <c r="AL7" s="18">
        <f t="shared" si="19"/>
        <v>168.6</v>
      </c>
      <c r="AM7" s="18">
        <f t="shared" ref="AM7:AN7" si="20">SUM(AM3:AM6)</f>
        <v>152</v>
      </c>
      <c r="AN7" s="18">
        <f t="shared" si="20"/>
        <v>150.80000000000001</v>
      </c>
      <c r="AO7" s="18">
        <f>SUM(AO3:AO6)</f>
        <v>135.4</v>
      </c>
      <c r="AP7" s="18">
        <f t="shared" ref="AP7:AQ7" si="21">SUM(AP3:AP6)</f>
        <v>606.70000000000005</v>
      </c>
      <c r="AQ7" s="18">
        <f t="shared" si="21"/>
        <v>153.4</v>
      </c>
      <c r="AR7" s="19">
        <f t="shared" ref="AR7" si="22">SUM(AR3:AR6)</f>
        <v>127.8</v>
      </c>
    </row>
    <row r="8" spans="1:44" ht="13.5" customHeight="1" x14ac:dyDescent="0.25"/>
    <row r="9" spans="1:44" ht="13.5" customHeight="1" x14ac:dyDescent="0.25">
      <c r="A9" s="93"/>
      <c r="B9" s="94" t="s">
        <v>0</v>
      </c>
      <c r="C9" s="94" t="s">
        <v>1</v>
      </c>
      <c r="D9" s="94" t="s">
        <v>2</v>
      </c>
      <c r="E9" s="94" t="s">
        <v>3</v>
      </c>
      <c r="F9" s="94" t="s">
        <v>4</v>
      </c>
      <c r="G9" s="94" t="s">
        <v>110</v>
      </c>
      <c r="H9" s="94" t="s">
        <v>111</v>
      </c>
      <c r="I9" s="94" t="s">
        <v>112</v>
      </c>
      <c r="J9" s="94" t="s">
        <v>113</v>
      </c>
      <c r="K9" s="94" t="s">
        <v>114</v>
      </c>
      <c r="L9" s="94" t="s">
        <v>115</v>
      </c>
      <c r="M9" s="94" t="s">
        <v>116</v>
      </c>
      <c r="N9" s="94" t="s">
        <v>117</v>
      </c>
      <c r="O9" s="94" t="s">
        <v>118</v>
      </c>
      <c r="P9" s="94" t="s">
        <v>119</v>
      </c>
      <c r="Q9" s="94" t="s">
        <v>120</v>
      </c>
      <c r="R9" s="94" t="s">
        <v>121</v>
      </c>
      <c r="S9" s="94" t="s">
        <v>122</v>
      </c>
      <c r="T9" s="94" t="s">
        <v>123</v>
      </c>
      <c r="U9" s="94" t="s">
        <v>124</v>
      </c>
      <c r="V9" s="94" t="s">
        <v>24</v>
      </c>
      <c r="W9" s="94" t="s">
        <v>25</v>
      </c>
      <c r="X9" s="94" t="str">
        <f t="shared" ref="X9:AC9" si="23">+X2</f>
        <v>Q2 2021</v>
      </c>
      <c r="Y9" s="94" t="str">
        <f t="shared" si="23"/>
        <v>Q3 2021</v>
      </c>
      <c r="Z9" s="94" t="str">
        <f t="shared" si="23"/>
        <v>Q4 2021</v>
      </c>
      <c r="AA9" s="94" t="str">
        <f t="shared" si="23"/>
        <v>FY 2021</v>
      </c>
      <c r="AB9" s="94" t="str">
        <f t="shared" si="23"/>
        <v>Q1 2022</v>
      </c>
      <c r="AC9" s="94" t="str">
        <f t="shared" si="23"/>
        <v>Q2 2022</v>
      </c>
      <c r="AD9" s="94" t="str">
        <f t="shared" ref="AD9:AE9" si="24">+AD2</f>
        <v>Q3 2022</v>
      </c>
      <c r="AE9" s="94" t="str">
        <f t="shared" si="24"/>
        <v>Q4 2022</v>
      </c>
      <c r="AF9" s="94" t="str">
        <f t="shared" ref="AF9" si="25">+AF2</f>
        <v>FY 2022</v>
      </c>
      <c r="AG9" s="94" t="s">
        <v>198</v>
      </c>
      <c r="AH9" s="94" t="str">
        <f t="shared" ref="AH9:AM9" si="26">+AH2</f>
        <v>Q2 2023</v>
      </c>
      <c r="AI9" s="94" t="str">
        <f t="shared" si="26"/>
        <v>Q3 2023</v>
      </c>
      <c r="AJ9" s="94" t="str">
        <f t="shared" si="26"/>
        <v>Q4 2023</v>
      </c>
      <c r="AK9" s="94" t="str">
        <f t="shared" si="26"/>
        <v>FY 2023</v>
      </c>
      <c r="AL9" s="94" t="str">
        <f t="shared" si="26"/>
        <v>Q1 2024</v>
      </c>
      <c r="AM9" s="94" t="str">
        <f t="shared" si="26"/>
        <v>Q2 2024</v>
      </c>
      <c r="AN9" s="94" t="str">
        <f t="shared" ref="AN9:AO9" si="27">+AN2</f>
        <v>Q3 2024</v>
      </c>
      <c r="AO9" s="94" t="str">
        <f t="shared" si="27"/>
        <v>Q4 2024</v>
      </c>
      <c r="AP9" s="94" t="str">
        <f t="shared" ref="AP9:AQ9" si="28">+AP2</f>
        <v>FY 2024</v>
      </c>
      <c r="AQ9" s="94" t="str">
        <f t="shared" si="28"/>
        <v>Q1 2025</v>
      </c>
      <c r="AR9" s="94" t="str">
        <f t="shared" ref="AR9" si="29">+AR2</f>
        <v>Q2 2025</v>
      </c>
    </row>
    <row r="10" spans="1:44" ht="13.5" customHeight="1" x14ac:dyDescent="0.25">
      <c r="A10" s="11" t="s">
        <v>186</v>
      </c>
      <c r="B10" s="12">
        <v>97.4</v>
      </c>
      <c r="C10" s="12">
        <v>84.6</v>
      </c>
      <c r="D10" s="12">
        <v>76.900000000000006</v>
      </c>
      <c r="E10" s="12">
        <v>164.5</v>
      </c>
      <c r="F10" s="12">
        <v>423.4</v>
      </c>
      <c r="G10" s="12">
        <v>62</v>
      </c>
      <c r="H10" s="12">
        <v>120.1</v>
      </c>
      <c r="I10" s="12">
        <v>83</v>
      </c>
      <c r="J10" s="12">
        <v>74.7</v>
      </c>
      <c r="K10" s="12">
        <v>339.8</v>
      </c>
      <c r="L10" s="12">
        <v>108.8</v>
      </c>
      <c r="M10" s="12">
        <v>105.1</v>
      </c>
      <c r="N10" s="12">
        <f>119.7-0.1</f>
        <v>119.60000000000001</v>
      </c>
      <c r="O10" s="12">
        <f>134.3-0.5</f>
        <v>133.80000000000001</v>
      </c>
      <c r="P10" s="12">
        <f t="shared" ref="P10:P13" si="30">SUM(L10:O10)</f>
        <v>467.3</v>
      </c>
      <c r="Q10" s="12">
        <f>137-0.5</f>
        <v>136.5</v>
      </c>
      <c r="R10" s="12">
        <f>155.8-0.4</f>
        <v>155.4</v>
      </c>
      <c r="S10" s="12">
        <f>133-0.1</f>
        <v>132.9</v>
      </c>
      <c r="T10" s="12">
        <f>117.8+0.3</f>
        <v>118.1</v>
      </c>
      <c r="U10" s="12">
        <f>SUM(Q10:T10)</f>
        <v>542.9</v>
      </c>
      <c r="V10" s="12">
        <v>436.1</v>
      </c>
      <c r="W10" s="12">
        <v>113.5</v>
      </c>
      <c r="X10" s="12">
        <v>93.6</v>
      </c>
      <c r="Y10" s="12">
        <v>99.1</v>
      </c>
      <c r="Z10" s="12">
        <f>99+6.2</f>
        <v>105.2</v>
      </c>
      <c r="AA10" s="12">
        <f>+W10+X10+Y10+Z10</f>
        <v>411.4</v>
      </c>
      <c r="AB10" s="12">
        <v>86.499999999999986</v>
      </c>
      <c r="AC10" s="12">
        <v>76.599999999999994</v>
      </c>
      <c r="AD10" s="12">
        <v>81</v>
      </c>
      <c r="AE10" s="12">
        <v>106.3</v>
      </c>
      <c r="AF10" s="12">
        <f>SUM(AB10:AE10)</f>
        <v>350.4</v>
      </c>
      <c r="AG10" s="12">
        <v>81.900000000000006</v>
      </c>
      <c r="AH10" s="12">
        <v>63.4</v>
      </c>
      <c r="AI10" s="12">
        <v>77</v>
      </c>
      <c r="AJ10" s="12">
        <v>92.4</v>
      </c>
      <c r="AK10" s="12">
        <f>SUM(AG10:AJ10)</f>
        <v>314.70000000000005</v>
      </c>
      <c r="AL10" s="12">
        <v>87.6</v>
      </c>
      <c r="AM10" s="12">
        <v>80</v>
      </c>
      <c r="AN10" s="12">
        <v>85.7</v>
      </c>
      <c r="AO10" s="12">
        <v>74</v>
      </c>
      <c r="AP10" s="12">
        <f>SUM(AL10:AO10)</f>
        <v>327.3</v>
      </c>
      <c r="AQ10" s="12">
        <v>92.4</v>
      </c>
      <c r="AR10" s="13">
        <v>59.5</v>
      </c>
    </row>
    <row r="11" spans="1:44" ht="13.5" hidden="1" customHeight="1" x14ac:dyDescent="0.25">
      <c r="A11" s="14" t="s">
        <v>187</v>
      </c>
      <c r="B11" s="45">
        <v>0</v>
      </c>
      <c r="C11" s="45">
        <v>0</v>
      </c>
      <c r="D11" s="45">
        <v>0</v>
      </c>
      <c r="E11" s="45">
        <v>0</v>
      </c>
      <c r="F11" s="45">
        <v>0</v>
      </c>
      <c r="G11" s="45">
        <v>0</v>
      </c>
      <c r="H11" s="12">
        <v>-1.5</v>
      </c>
      <c r="I11" s="12">
        <v>-0.9</v>
      </c>
      <c r="J11" s="12">
        <v>-1.2</v>
      </c>
      <c r="K11" s="12">
        <v>-3.6</v>
      </c>
      <c r="L11" s="12">
        <v>-0.3</v>
      </c>
      <c r="M11" s="12">
        <v>0.3</v>
      </c>
      <c r="N11" s="16">
        <v>6.7</v>
      </c>
      <c r="O11" s="16">
        <v>14.6</v>
      </c>
      <c r="P11" s="12">
        <f t="shared" si="30"/>
        <v>21.3</v>
      </c>
      <c r="Q11" s="12">
        <v>54.6</v>
      </c>
      <c r="R11" s="12">
        <v>42.7</v>
      </c>
      <c r="S11" s="12">
        <v>35</v>
      </c>
      <c r="T11" s="12">
        <v>57.5</v>
      </c>
      <c r="U11" s="12">
        <f t="shared" ref="U11:U13" si="31">SUM(Q11:T11)</f>
        <v>189.8</v>
      </c>
      <c r="V11" s="12">
        <v>3.9</v>
      </c>
      <c r="W11" s="45">
        <v>0</v>
      </c>
      <c r="X11" s="45">
        <v>0</v>
      </c>
      <c r="Y11" s="68">
        <v>0</v>
      </c>
      <c r="Z11" s="68">
        <v>0</v>
      </c>
      <c r="AA11" s="147">
        <f>+W11+X11+Y11+Z11</f>
        <v>0</v>
      </c>
      <c r="AB11" s="147">
        <f>+X11+Y11+Z11+AA11</f>
        <v>0</v>
      </c>
      <c r="AC11" s="147">
        <f>+Y11+Z11+AA11+AB11</f>
        <v>0</v>
      </c>
      <c r="AD11" s="68">
        <v>0</v>
      </c>
      <c r="AE11" s="68">
        <v>0</v>
      </c>
      <c r="AF11" s="68">
        <f t="shared" ref="AF11:AF13" si="32">SUM(AB11:AE11)</f>
        <v>0</v>
      </c>
      <c r="AG11" s="147">
        <f>+AC11+AD11+AE11+AF11</f>
        <v>0</v>
      </c>
      <c r="AH11" s="147">
        <f>+AD11+AE11+AF11+AG11</f>
        <v>0</v>
      </c>
      <c r="AI11" s="147">
        <f>+AE11+AF11+AG11+AH11</f>
        <v>0</v>
      </c>
      <c r="AJ11" s="147">
        <f>+AF11+AG11+AH11+AI11</f>
        <v>0</v>
      </c>
      <c r="AK11" s="147">
        <f>+AG11+AH11+AI11+AJ11</f>
        <v>0</v>
      </c>
      <c r="AL11" s="147"/>
      <c r="AM11" s="147"/>
      <c r="AN11" s="147"/>
      <c r="AO11" s="147"/>
      <c r="AP11" s="147"/>
      <c r="AQ11" s="147"/>
      <c r="AR11" s="147"/>
    </row>
    <row r="12" spans="1:44" ht="13.5" customHeight="1" x14ac:dyDescent="0.25">
      <c r="A12" s="14" t="s">
        <v>188</v>
      </c>
      <c r="B12" s="45">
        <v>0</v>
      </c>
      <c r="C12" s="45">
        <v>0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  <c r="T12" s="45">
        <v>0</v>
      </c>
      <c r="U12" s="45">
        <v>0</v>
      </c>
      <c r="V12" s="45">
        <v>0</v>
      </c>
      <c r="W12" s="12">
        <v>-2.7</v>
      </c>
      <c r="X12" s="12">
        <v>-2.5</v>
      </c>
      <c r="Y12" s="12">
        <v>-2</v>
      </c>
      <c r="Z12" s="12">
        <v>-2.9</v>
      </c>
      <c r="AA12" s="12">
        <f t="shared" ref="AA12:AA13" si="33">+W12+X12+Y12+Z12</f>
        <v>-10.1</v>
      </c>
      <c r="AB12" s="12">
        <v>-1.7</v>
      </c>
      <c r="AC12" s="12">
        <v>-1</v>
      </c>
      <c r="AD12" s="12">
        <v>-0.6</v>
      </c>
      <c r="AE12" s="12">
        <v>-1</v>
      </c>
      <c r="AF12" s="12">
        <f t="shared" si="32"/>
        <v>-4.3000000000000007</v>
      </c>
      <c r="AG12" s="12">
        <v>-2.9</v>
      </c>
      <c r="AH12" s="12">
        <v>-2.5</v>
      </c>
      <c r="AI12" s="12">
        <v>-2.5</v>
      </c>
      <c r="AJ12" s="12">
        <v>-1.3</v>
      </c>
      <c r="AK12" s="12">
        <f>SUM(AG12:AJ12)</f>
        <v>-9.2000000000000011</v>
      </c>
      <c r="AL12" s="12">
        <v>-2.1</v>
      </c>
      <c r="AM12" s="12">
        <v>-2.5</v>
      </c>
      <c r="AN12" s="12">
        <v>-2.6</v>
      </c>
      <c r="AO12" s="12">
        <v>-2.1</v>
      </c>
      <c r="AP12" s="12">
        <f>SUM(AL12:AO12)</f>
        <v>-9.2999999999999989</v>
      </c>
      <c r="AQ12" s="12">
        <v>-1.1000000000000001</v>
      </c>
      <c r="AR12" s="13">
        <v>-2.4</v>
      </c>
    </row>
    <row r="13" spans="1:44" ht="13.5" customHeight="1" x14ac:dyDescent="0.25">
      <c r="A13" s="14" t="s">
        <v>189</v>
      </c>
      <c r="B13" s="45">
        <v>0</v>
      </c>
      <c r="C13" s="45">
        <v>0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12">
        <f t="shared" si="30"/>
        <v>0</v>
      </c>
      <c r="Q13" s="12">
        <v>-4.8</v>
      </c>
      <c r="R13" s="12">
        <v>-6.9</v>
      </c>
      <c r="S13" s="12">
        <v>-5.9</v>
      </c>
      <c r="T13" s="12">
        <v>-5.9</v>
      </c>
      <c r="U13" s="12">
        <f t="shared" si="31"/>
        <v>-23.5</v>
      </c>
      <c r="V13" s="12">
        <v>-3.9</v>
      </c>
      <c r="W13" s="45">
        <v>0</v>
      </c>
      <c r="X13" s="45">
        <v>0</v>
      </c>
      <c r="Y13" s="68">
        <v>0</v>
      </c>
      <c r="Z13" s="68">
        <v>0</v>
      </c>
      <c r="AA13" s="68">
        <f t="shared" si="33"/>
        <v>0</v>
      </c>
      <c r="AB13" s="68">
        <v>0</v>
      </c>
      <c r="AC13" s="68">
        <v>0</v>
      </c>
      <c r="AD13" s="68">
        <v>0</v>
      </c>
      <c r="AE13" s="12">
        <v>-0.4</v>
      </c>
      <c r="AF13" s="12">
        <f t="shared" si="32"/>
        <v>-0.4</v>
      </c>
      <c r="AG13" s="68">
        <v>0</v>
      </c>
      <c r="AH13" s="68">
        <v>0</v>
      </c>
      <c r="AI13" s="68">
        <v>0</v>
      </c>
      <c r="AJ13" s="68">
        <v>0</v>
      </c>
      <c r="AK13" s="68">
        <v>0</v>
      </c>
      <c r="AL13" s="68">
        <v>0</v>
      </c>
      <c r="AM13" s="68">
        <v>0</v>
      </c>
      <c r="AN13" s="68">
        <v>0</v>
      </c>
      <c r="AO13" s="68">
        <v>0</v>
      </c>
      <c r="AP13" s="68">
        <f>SUM(AL13:AO13)</f>
        <v>0</v>
      </c>
      <c r="AQ13" s="68">
        <v>0</v>
      </c>
      <c r="AR13" s="78">
        <v>0</v>
      </c>
    </row>
    <row r="14" spans="1:44" ht="13.5" customHeight="1" x14ac:dyDescent="0.25">
      <c r="A14" s="17" t="s">
        <v>191</v>
      </c>
      <c r="B14" s="18">
        <f t="shared" ref="B14:Q14" si="34">SUM(B10:B13)</f>
        <v>97.4</v>
      </c>
      <c r="C14" s="18">
        <f t="shared" ref="C14:E14" si="35">SUM(C10:C13)</f>
        <v>84.6</v>
      </c>
      <c r="D14" s="18">
        <f t="shared" si="35"/>
        <v>76.900000000000006</v>
      </c>
      <c r="E14" s="18">
        <f t="shared" si="35"/>
        <v>164.5</v>
      </c>
      <c r="F14" s="18">
        <f t="shared" ref="F14:M14" si="36">SUM(F10:F13)</f>
        <v>423.4</v>
      </c>
      <c r="G14" s="18">
        <f t="shared" ref="G14:I14" si="37">SUM(G10:G13)</f>
        <v>62</v>
      </c>
      <c r="H14" s="18">
        <f t="shared" si="37"/>
        <v>118.6</v>
      </c>
      <c r="I14" s="18">
        <f t="shared" si="37"/>
        <v>82.1</v>
      </c>
      <c r="J14" s="18">
        <f t="shared" ref="J14:L14" si="38">SUM(J10:J13)</f>
        <v>73.5</v>
      </c>
      <c r="K14" s="18">
        <f t="shared" si="38"/>
        <v>336.2</v>
      </c>
      <c r="L14" s="18">
        <f t="shared" si="38"/>
        <v>108.5</v>
      </c>
      <c r="M14" s="18">
        <f t="shared" si="36"/>
        <v>105.39999999999999</v>
      </c>
      <c r="N14" s="18">
        <f t="shared" si="34"/>
        <v>126.30000000000001</v>
      </c>
      <c r="O14" s="18">
        <f t="shared" si="34"/>
        <v>148.4</v>
      </c>
      <c r="P14" s="18">
        <f t="shared" si="34"/>
        <v>488.6</v>
      </c>
      <c r="Q14" s="18">
        <f t="shared" si="34"/>
        <v>186.29999999999998</v>
      </c>
      <c r="R14" s="18">
        <f t="shared" ref="R14:S14" si="39">SUM(R10:R13)</f>
        <v>191.20000000000002</v>
      </c>
      <c r="S14" s="18">
        <f t="shared" si="39"/>
        <v>162</v>
      </c>
      <c r="T14" s="18">
        <f t="shared" ref="T14:U14" si="40">SUM(T10:T13)</f>
        <v>169.7</v>
      </c>
      <c r="U14" s="18">
        <f t="shared" si="40"/>
        <v>709.2</v>
      </c>
      <c r="V14" s="18">
        <f t="shared" ref="V14:W14" si="41">SUM(V10:V13)</f>
        <v>436.1</v>
      </c>
      <c r="W14" s="18">
        <f t="shared" si="41"/>
        <v>110.8</v>
      </c>
      <c r="X14" s="18">
        <f t="shared" ref="X14:Y14" si="42">SUM(X10:X13)</f>
        <v>91.1</v>
      </c>
      <c r="Y14" s="18">
        <f t="shared" si="42"/>
        <v>97.1</v>
      </c>
      <c r="Z14" s="18">
        <f t="shared" ref="Z14:AA14" si="43">SUM(Z10:Z13)</f>
        <v>102.3</v>
      </c>
      <c r="AA14" s="18">
        <f t="shared" si="43"/>
        <v>401.29999999999995</v>
      </c>
      <c r="AB14" s="18">
        <f t="shared" ref="AB14:AC14" si="44">SUM(AB10:AB13)</f>
        <v>84.799999999999983</v>
      </c>
      <c r="AC14" s="18">
        <f t="shared" si="44"/>
        <v>75.599999999999994</v>
      </c>
      <c r="AD14" s="18">
        <f t="shared" ref="AD14:AE14" si="45">SUM(AD10:AD13)</f>
        <v>80.400000000000006</v>
      </c>
      <c r="AE14" s="18">
        <f t="shared" si="45"/>
        <v>104.89999999999999</v>
      </c>
      <c r="AF14" s="18">
        <f t="shared" ref="AF14:AG14" si="46">SUM(AF10:AF13)</f>
        <v>345.7</v>
      </c>
      <c r="AG14" s="18">
        <f t="shared" si="46"/>
        <v>79</v>
      </c>
      <c r="AH14" s="18">
        <f t="shared" ref="AH14:AI14" si="47">SUM(AH10:AH13)</f>
        <v>60.9</v>
      </c>
      <c r="AI14" s="18">
        <f t="shared" si="47"/>
        <v>74.5</v>
      </c>
      <c r="AJ14" s="18">
        <f t="shared" ref="AJ14:AK14" si="48">SUM(AJ10:AJ13)</f>
        <v>91.100000000000009</v>
      </c>
      <c r="AK14" s="18">
        <f t="shared" si="48"/>
        <v>305.50000000000006</v>
      </c>
      <c r="AL14" s="18">
        <f t="shared" ref="AL14:AM14" si="49">SUM(AL10:AL13)</f>
        <v>85.5</v>
      </c>
      <c r="AM14" s="18">
        <f t="shared" si="49"/>
        <v>77.5</v>
      </c>
      <c r="AN14" s="18">
        <f t="shared" ref="AN14:AO14" si="50">SUM(AN10:AN13)</f>
        <v>83.100000000000009</v>
      </c>
      <c r="AO14" s="18">
        <f t="shared" si="50"/>
        <v>71.900000000000006</v>
      </c>
      <c r="AP14" s="18">
        <f t="shared" ref="AP14:AQ14" si="51">SUM(AP10:AP13)</f>
        <v>318</v>
      </c>
      <c r="AQ14" s="18">
        <f t="shared" si="51"/>
        <v>91.300000000000011</v>
      </c>
      <c r="AR14" s="19">
        <f t="shared" ref="AR14" si="52">SUM(AR10:AR13)</f>
        <v>57.1</v>
      </c>
    </row>
    <row r="15" spans="1:44" ht="13.5" customHeight="1" x14ac:dyDescent="0.25"/>
    <row r="16" spans="1:44" ht="13.5" customHeight="1" x14ac:dyDescent="0.25">
      <c r="A16" s="93"/>
      <c r="B16" s="94" t="s">
        <v>0</v>
      </c>
      <c r="C16" s="94" t="s">
        <v>1</v>
      </c>
      <c r="D16" s="94" t="s">
        <v>2</v>
      </c>
      <c r="E16" s="94" t="s">
        <v>3</v>
      </c>
      <c r="F16" s="94" t="s">
        <v>4</v>
      </c>
      <c r="G16" s="94" t="s">
        <v>110</v>
      </c>
      <c r="H16" s="94" t="s">
        <v>111</v>
      </c>
      <c r="I16" s="94" t="s">
        <v>112</v>
      </c>
      <c r="J16" s="94" t="s">
        <v>113</v>
      </c>
      <c r="K16" s="94" t="s">
        <v>114</v>
      </c>
      <c r="L16" s="94" t="s">
        <v>115</v>
      </c>
      <c r="M16" s="94" t="s">
        <v>116</v>
      </c>
      <c r="N16" s="94" t="s">
        <v>117</v>
      </c>
      <c r="O16" s="94" t="s">
        <v>118</v>
      </c>
      <c r="P16" s="94" t="s">
        <v>119</v>
      </c>
      <c r="Q16" s="94" t="s">
        <v>120</v>
      </c>
      <c r="R16" s="94" t="s">
        <v>121</v>
      </c>
      <c r="S16" s="94" t="s">
        <v>122</v>
      </c>
      <c r="T16" s="94" t="s">
        <v>123</v>
      </c>
      <c r="U16" s="94" t="s">
        <v>124</v>
      </c>
      <c r="V16" s="94" t="s">
        <v>24</v>
      </c>
      <c r="W16" s="94" t="s">
        <v>25</v>
      </c>
      <c r="X16" s="94" t="str">
        <f t="shared" ref="X16:AC16" si="53">+X2</f>
        <v>Q2 2021</v>
      </c>
      <c r="Y16" s="94" t="str">
        <f t="shared" si="53"/>
        <v>Q3 2021</v>
      </c>
      <c r="Z16" s="94" t="str">
        <f t="shared" si="53"/>
        <v>Q4 2021</v>
      </c>
      <c r="AA16" s="94" t="str">
        <f t="shared" si="53"/>
        <v>FY 2021</v>
      </c>
      <c r="AB16" s="94" t="str">
        <f t="shared" si="53"/>
        <v>Q1 2022</v>
      </c>
      <c r="AC16" s="94" t="str">
        <f t="shared" si="53"/>
        <v>Q2 2022</v>
      </c>
      <c r="AD16" s="94" t="str">
        <f t="shared" ref="AD16:AE16" si="54">+AD2</f>
        <v>Q3 2022</v>
      </c>
      <c r="AE16" s="94" t="str">
        <f t="shared" si="54"/>
        <v>Q4 2022</v>
      </c>
      <c r="AF16" s="94" t="str">
        <f t="shared" ref="AF16:AG16" si="55">+AF2</f>
        <v>FY 2022</v>
      </c>
      <c r="AG16" s="94" t="str">
        <f t="shared" si="55"/>
        <v>Q1 2023</v>
      </c>
      <c r="AH16" s="94" t="str">
        <f t="shared" ref="AH16:AI16" si="56">+AH2</f>
        <v>Q2 2023</v>
      </c>
      <c r="AI16" s="94" t="str">
        <f t="shared" si="56"/>
        <v>Q3 2023</v>
      </c>
      <c r="AJ16" s="94" t="str">
        <f t="shared" ref="AJ16:AK16" si="57">+AJ2</f>
        <v>Q4 2023</v>
      </c>
      <c r="AK16" s="94" t="str">
        <f t="shared" si="57"/>
        <v>FY 2023</v>
      </c>
      <c r="AL16" s="94" t="str">
        <f t="shared" ref="AL16:AM16" si="58">+AL2</f>
        <v>Q1 2024</v>
      </c>
      <c r="AM16" s="94" t="str">
        <f t="shared" si="58"/>
        <v>Q2 2024</v>
      </c>
      <c r="AN16" s="94" t="str">
        <f t="shared" ref="AN16:AO16" si="59">+AN2</f>
        <v>Q3 2024</v>
      </c>
      <c r="AO16" s="94" t="str">
        <f t="shared" si="59"/>
        <v>Q4 2024</v>
      </c>
      <c r="AP16" s="94" t="str">
        <f t="shared" ref="AP16:AQ16" si="60">+AP2</f>
        <v>FY 2024</v>
      </c>
      <c r="AQ16" s="94" t="str">
        <f t="shared" si="60"/>
        <v>Q1 2025</v>
      </c>
      <c r="AR16" s="94" t="str">
        <f t="shared" ref="AR16" si="61">+AR2</f>
        <v>Q2 2025</v>
      </c>
    </row>
    <row r="17" spans="1:44" ht="13.5" customHeight="1" x14ac:dyDescent="0.25">
      <c r="A17" s="11" t="s">
        <v>186</v>
      </c>
      <c r="B17" s="12">
        <v>-61.2</v>
      </c>
      <c r="C17" s="12">
        <v>-59.7</v>
      </c>
      <c r="D17" s="12">
        <v>-57.7</v>
      </c>
      <c r="E17" s="12">
        <v>-279.8</v>
      </c>
      <c r="F17" s="12">
        <v>-458.4</v>
      </c>
      <c r="G17" s="12">
        <v>-57.3</v>
      </c>
      <c r="H17" s="12">
        <v>-85.2</v>
      </c>
      <c r="I17" s="12">
        <v>-55.2</v>
      </c>
      <c r="J17" s="12">
        <v>-58.3</v>
      </c>
      <c r="K17" s="12">
        <v>-256</v>
      </c>
      <c r="L17" s="12">
        <v>-77</v>
      </c>
      <c r="M17" s="12">
        <v>-83.3</v>
      </c>
      <c r="N17" s="12">
        <v>-84.3</v>
      </c>
      <c r="O17" s="12">
        <f>-84.2+7</f>
        <v>-77.2</v>
      </c>
      <c r="P17" s="12">
        <f t="shared" ref="P17:P20" si="62">SUM(L17:O17)</f>
        <v>-321.8</v>
      </c>
      <c r="Q17" s="12">
        <f>-86.3-0.2</f>
        <v>-86.5</v>
      </c>
      <c r="R17" s="12">
        <v>-87.3</v>
      </c>
      <c r="S17" s="12">
        <v>-86.9</v>
      </c>
      <c r="T17" s="12">
        <v>-95.7</v>
      </c>
      <c r="U17" s="12">
        <f>SUM(Q17:T17)</f>
        <v>-356.40000000000003</v>
      </c>
      <c r="V17" s="12">
        <v>-576.70000000000005</v>
      </c>
      <c r="W17" s="12">
        <v>-69.099999999999994</v>
      </c>
      <c r="X17" s="12">
        <v>-64.599999999999994</v>
      </c>
      <c r="Y17" s="12">
        <v>-65.7</v>
      </c>
      <c r="Z17" s="12">
        <v>-149.6</v>
      </c>
      <c r="AA17" s="12">
        <f>+W17+X17+Y17+Z17</f>
        <v>-349</v>
      </c>
      <c r="AB17" s="12">
        <f>-49.7-0.9</f>
        <v>-50.6</v>
      </c>
      <c r="AC17" s="12">
        <v>-46.1</v>
      </c>
      <c r="AD17" s="12">
        <v>-47.3</v>
      </c>
      <c r="AE17" s="12">
        <v>-63.5</v>
      </c>
      <c r="AF17" s="12">
        <f>SUM(AB17:AE17)</f>
        <v>-207.5</v>
      </c>
      <c r="AG17" s="12">
        <v>-38</v>
      </c>
      <c r="AH17" s="12">
        <v>-38.799999999999997</v>
      </c>
      <c r="AI17" s="12">
        <v>-32.700000000000003</v>
      </c>
      <c r="AJ17" s="12">
        <v>-44.9</v>
      </c>
      <c r="AK17" s="12">
        <f>SUM(AG17:AJ17)</f>
        <v>-154.4</v>
      </c>
      <c r="AL17" s="12">
        <v>-42.6</v>
      </c>
      <c r="AM17" s="12">
        <v>-43.6</v>
      </c>
      <c r="AN17" s="12">
        <v>-43.5</v>
      </c>
      <c r="AO17" s="12">
        <v>-39.799999999999997</v>
      </c>
      <c r="AP17" s="12">
        <f>SUM(AL17:AO17)</f>
        <v>-169.5</v>
      </c>
      <c r="AQ17" s="12">
        <v>-16.2</v>
      </c>
      <c r="AR17" s="13">
        <v>-34.299999999999997</v>
      </c>
    </row>
    <row r="18" spans="1:44" ht="13.5" hidden="1" customHeight="1" x14ac:dyDescent="0.25">
      <c r="A18" s="14" t="s">
        <v>187</v>
      </c>
      <c r="B18" s="45">
        <v>0</v>
      </c>
      <c r="C18" s="45">
        <v>0</v>
      </c>
      <c r="D18" s="45">
        <v>0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16">
        <v>-1.8</v>
      </c>
      <c r="O18" s="16">
        <v>-6.1</v>
      </c>
      <c r="P18" s="12">
        <f t="shared" si="62"/>
        <v>-7.8999999999999995</v>
      </c>
      <c r="Q18" s="12">
        <f>-19.2+0.3</f>
        <v>-18.899999999999999</v>
      </c>
      <c r="R18" s="12">
        <v>-20.3</v>
      </c>
      <c r="S18" s="12">
        <v>-13.8</v>
      </c>
      <c r="T18" s="12">
        <v>-21.3</v>
      </c>
      <c r="U18" s="12">
        <f t="shared" ref="U18:U20" si="63">SUM(Q18:T18)</f>
        <v>-74.3</v>
      </c>
      <c r="V18" s="12">
        <v>-4.7</v>
      </c>
      <c r="W18" s="45">
        <v>0</v>
      </c>
      <c r="X18" s="45">
        <v>0</v>
      </c>
      <c r="Y18" s="68">
        <v>0</v>
      </c>
      <c r="Z18" s="68">
        <v>0</v>
      </c>
      <c r="AA18" s="68">
        <f t="shared" ref="AA18:AA20" si="64">+W18+X18+Y18+Z18</f>
        <v>0</v>
      </c>
      <c r="AB18" s="68">
        <v>0</v>
      </c>
      <c r="AC18" s="68">
        <v>0</v>
      </c>
      <c r="AD18" s="68">
        <v>0</v>
      </c>
      <c r="AE18" s="68">
        <v>0</v>
      </c>
      <c r="AF18" s="68">
        <f t="shared" ref="AF18:AF20" si="65">SUM(AB18:AE18)</f>
        <v>0</v>
      </c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78"/>
    </row>
    <row r="19" spans="1:44" ht="13.5" customHeight="1" x14ac:dyDescent="0.25">
      <c r="A19" s="14" t="s">
        <v>188</v>
      </c>
      <c r="B19" s="45">
        <v>0</v>
      </c>
      <c r="C19" s="45">
        <v>0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45">
        <v>0</v>
      </c>
      <c r="R19" s="45">
        <v>0</v>
      </c>
      <c r="S19" s="45">
        <v>0</v>
      </c>
      <c r="T19" s="45">
        <v>0</v>
      </c>
      <c r="U19" s="45">
        <v>0</v>
      </c>
      <c r="V19" s="45">
        <v>0</v>
      </c>
      <c r="W19" s="12">
        <v>-0.3</v>
      </c>
      <c r="X19" s="12">
        <v>-3.3</v>
      </c>
      <c r="Y19" s="12">
        <v>-3.1</v>
      </c>
      <c r="Z19" s="12">
        <v>-3.6</v>
      </c>
      <c r="AA19" s="12">
        <f t="shared" si="64"/>
        <v>-10.299999999999999</v>
      </c>
      <c r="AB19" s="12">
        <v>-3.8</v>
      </c>
      <c r="AC19" s="12">
        <v>-3.7</v>
      </c>
      <c r="AD19" s="12">
        <v>-3.5</v>
      </c>
      <c r="AE19" s="12">
        <v>-3.6</v>
      </c>
      <c r="AF19" s="12">
        <f t="shared" si="65"/>
        <v>-14.6</v>
      </c>
      <c r="AG19" s="12">
        <v>-3.8</v>
      </c>
      <c r="AH19" s="12">
        <v>-3.9</v>
      </c>
      <c r="AI19" s="12">
        <v>-3.6</v>
      </c>
      <c r="AJ19" s="12">
        <v>-1.9</v>
      </c>
      <c r="AK19" s="12">
        <f>SUM(AG19:AJ19)</f>
        <v>-13.2</v>
      </c>
      <c r="AL19" s="12">
        <v>-2</v>
      </c>
      <c r="AM19" s="12">
        <v>-2</v>
      </c>
      <c r="AN19" s="12">
        <v>-2</v>
      </c>
      <c r="AO19" s="12">
        <v>-1.3</v>
      </c>
      <c r="AP19" s="12">
        <f>SUM(AL19:AO19)</f>
        <v>-7.3</v>
      </c>
      <c r="AQ19" s="12">
        <v>-1.4</v>
      </c>
      <c r="AR19" s="13">
        <v>-1.6</v>
      </c>
    </row>
    <row r="20" spans="1:44" ht="13.5" customHeight="1" x14ac:dyDescent="0.25">
      <c r="A20" s="14" t="s">
        <v>189</v>
      </c>
      <c r="B20" s="45">
        <v>0</v>
      </c>
      <c r="C20" s="45">
        <v>0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16">
        <v>-0.6</v>
      </c>
      <c r="O20" s="16">
        <v>-1.4</v>
      </c>
      <c r="P20" s="12">
        <f t="shared" si="62"/>
        <v>-2</v>
      </c>
      <c r="Q20" s="12">
        <v>1.4</v>
      </c>
      <c r="R20" s="12">
        <v>6.5</v>
      </c>
      <c r="S20" s="12">
        <v>4.3</v>
      </c>
      <c r="T20" s="12">
        <v>6.2</v>
      </c>
      <c r="U20" s="12">
        <f t="shared" si="63"/>
        <v>18.399999999999999</v>
      </c>
      <c r="V20" s="12">
        <v>0.5</v>
      </c>
      <c r="W20" s="45">
        <v>0</v>
      </c>
      <c r="X20" s="45">
        <v>0</v>
      </c>
      <c r="Y20" s="68">
        <v>0</v>
      </c>
      <c r="Z20" s="68">
        <v>0</v>
      </c>
      <c r="AA20" s="68">
        <f t="shared" si="64"/>
        <v>0</v>
      </c>
      <c r="AB20" s="68">
        <v>0</v>
      </c>
      <c r="AC20" s="68">
        <v>0</v>
      </c>
      <c r="AD20" s="68">
        <v>0</v>
      </c>
      <c r="AE20" s="68">
        <v>0</v>
      </c>
      <c r="AF20" s="68">
        <f t="shared" si="65"/>
        <v>0</v>
      </c>
      <c r="AG20" s="68">
        <v>0</v>
      </c>
      <c r="AH20" s="68">
        <v>0</v>
      </c>
      <c r="AI20" s="68">
        <v>0</v>
      </c>
      <c r="AJ20" s="68">
        <v>0</v>
      </c>
      <c r="AK20" s="68">
        <v>0</v>
      </c>
      <c r="AL20" s="68">
        <v>0</v>
      </c>
      <c r="AM20" s="68">
        <v>0</v>
      </c>
      <c r="AN20" s="68">
        <v>0</v>
      </c>
      <c r="AO20" s="68">
        <v>0</v>
      </c>
      <c r="AP20" s="68">
        <f>SUM(AL20:AO20)</f>
        <v>0</v>
      </c>
      <c r="AQ20" s="68">
        <v>0</v>
      </c>
      <c r="AR20" s="78">
        <v>0</v>
      </c>
    </row>
    <row r="21" spans="1:44" ht="13.5" customHeight="1" x14ac:dyDescent="0.25">
      <c r="A21" s="17" t="s">
        <v>192</v>
      </c>
      <c r="B21" s="18">
        <f t="shared" ref="B21:P21" si="66">SUM(B17:B20)</f>
        <v>-61.2</v>
      </c>
      <c r="C21" s="18">
        <f t="shared" ref="C21:E21" si="67">SUM(C17:C20)</f>
        <v>-59.7</v>
      </c>
      <c r="D21" s="18">
        <f t="shared" si="67"/>
        <v>-57.7</v>
      </c>
      <c r="E21" s="18">
        <f t="shared" si="67"/>
        <v>-279.8</v>
      </c>
      <c r="F21" s="18">
        <f t="shared" ref="F21:M21" si="68">SUM(F17:F20)</f>
        <v>-458.4</v>
      </c>
      <c r="G21" s="18">
        <f t="shared" ref="G21:I21" si="69">SUM(G17:G20)</f>
        <v>-57.3</v>
      </c>
      <c r="H21" s="18">
        <f t="shared" si="69"/>
        <v>-85.2</v>
      </c>
      <c r="I21" s="18">
        <f t="shared" si="69"/>
        <v>-55.2</v>
      </c>
      <c r="J21" s="18">
        <f t="shared" ref="J21:L21" si="70">SUM(J17:J20)</f>
        <v>-58.3</v>
      </c>
      <c r="K21" s="18">
        <f t="shared" si="70"/>
        <v>-256</v>
      </c>
      <c r="L21" s="18">
        <f t="shared" si="70"/>
        <v>-77</v>
      </c>
      <c r="M21" s="18">
        <f t="shared" si="68"/>
        <v>-83.3</v>
      </c>
      <c r="N21" s="18">
        <f t="shared" si="66"/>
        <v>-86.699999999999989</v>
      </c>
      <c r="O21" s="18">
        <f t="shared" si="66"/>
        <v>-84.7</v>
      </c>
      <c r="P21" s="18">
        <f t="shared" si="66"/>
        <v>-331.7</v>
      </c>
      <c r="Q21" s="18">
        <f t="shared" ref="Q21:R21" si="71">SUM(Q17:Q20)</f>
        <v>-104</v>
      </c>
      <c r="R21" s="18">
        <f t="shared" si="71"/>
        <v>-101.1</v>
      </c>
      <c r="S21" s="18">
        <f t="shared" ref="S21:T21" si="72">SUM(S17:S20)</f>
        <v>-96.4</v>
      </c>
      <c r="T21" s="18">
        <f t="shared" si="72"/>
        <v>-110.8</v>
      </c>
      <c r="U21" s="18">
        <f t="shared" ref="U21:V21" si="73">SUM(U17:U20)</f>
        <v>-412.30000000000007</v>
      </c>
      <c r="V21" s="18">
        <f t="shared" si="73"/>
        <v>-580.90000000000009</v>
      </c>
      <c r="W21" s="18">
        <f t="shared" ref="W21:X21" si="74">SUM(W17:W20)</f>
        <v>-69.399999999999991</v>
      </c>
      <c r="X21" s="18">
        <f t="shared" si="74"/>
        <v>-67.899999999999991</v>
      </c>
      <c r="Y21" s="18">
        <f t="shared" ref="Y21:Z21" si="75">SUM(Y17:Y20)</f>
        <v>-68.8</v>
      </c>
      <c r="Z21" s="18">
        <f t="shared" si="75"/>
        <v>-153.19999999999999</v>
      </c>
      <c r="AA21" s="18">
        <f t="shared" ref="AA21:AB21" si="76">SUM(AA17:AA20)</f>
        <v>-359.3</v>
      </c>
      <c r="AB21" s="18">
        <f t="shared" si="76"/>
        <v>-54.4</v>
      </c>
      <c r="AC21" s="18">
        <f t="shared" ref="AC21:AD21" si="77">SUM(AC17:AC20)</f>
        <v>-49.800000000000004</v>
      </c>
      <c r="AD21" s="18">
        <f t="shared" si="77"/>
        <v>-50.8</v>
      </c>
      <c r="AE21" s="18">
        <f t="shared" ref="AE21:AF21" si="78">SUM(AE17:AE20)</f>
        <v>-67.099999999999994</v>
      </c>
      <c r="AF21" s="18">
        <f t="shared" si="78"/>
        <v>-222.1</v>
      </c>
      <c r="AG21" s="18">
        <f t="shared" ref="AG21:AH21" si="79">SUM(AG17:AG20)</f>
        <v>-41.8</v>
      </c>
      <c r="AH21" s="18">
        <f t="shared" si="79"/>
        <v>-42.699999999999996</v>
      </c>
      <c r="AI21" s="18">
        <f t="shared" ref="AI21:AJ21" si="80">SUM(AI17:AI20)</f>
        <v>-36.300000000000004</v>
      </c>
      <c r="AJ21" s="18">
        <f t="shared" si="80"/>
        <v>-46.8</v>
      </c>
      <c r="AK21" s="18">
        <f t="shared" ref="AK21:AL21" si="81">SUM(AK17:AK20)</f>
        <v>-167.6</v>
      </c>
      <c r="AL21" s="18">
        <f t="shared" si="81"/>
        <v>-44.6</v>
      </c>
      <c r="AM21" s="18">
        <f t="shared" ref="AM21:AN21" si="82">SUM(AM17:AM20)</f>
        <v>-45.6</v>
      </c>
      <c r="AN21" s="18">
        <f t="shared" si="82"/>
        <v>-45.5</v>
      </c>
      <c r="AO21" s="18">
        <f t="shared" ref="AO21:AQ21" si="83">SUM(AO17:AO20)</f>
        <v>-41.099999999999994</v>
      </c>
      <c r="AP21" s="18">
        <f t="shared" si="83"/>
        <v>-176.8</v>
      </c>
      <c r="AQ21" s="18">
        <f t="shared" si="83"/>
        <v>-17.599999999999998</v>
      </c>
      <c r="AR21" s="19">
        <f t="shared" ref="AR21" si="84">SUM(AR17:AR20)</f>
        <v>-35.9</v>
      </c>
    </row>
    <row r="22" spans="1:44" ht="13.5" customHeight="1" x14ac:dyDescent="0.25">
      <c r="A22" s="17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</row>
    <row r="23" spans="1:44" ht="13.5" customHeight="1" x14ac:dyDescent="0.25">
      <c r="A23" s="93"/>
      <c r="B23" s="94" t="s">
        <v>0</v>
      </c>
      <c r="C23" s="94" t="s">
        <v>1</v>
      </c>
      <c r="D23" s="94" t="s">
        <v>2</v>
      </c>
      <c r="E23" s="94" t="s">
        <v>3</v>
      </c>
      <c r="F23" s="94" t="s">
        <v>4</v>
      </c>
      <c r="G23" s="94" t="s">
        <v>110</v>
      </c>
      <c r="H23" s="94" t="s">
        <v>111</v>
      </c>
      <c r="I23" s="94" t="s">
        <v>112</v>
      </c>
      <c r="J23" s="94" t="s">
        <v>113</v>
      </c>
      <c r="K23" s="94" t="s">
        <v>114</v>
      </c>
      <c r="L23" s="94" t="s">
        <v>115</v>
      </c>
      <c r="M23" s="94" t="s">
        <v>116</v>
      </c>
      <c r="N23" s="94" t="s">
        <v>117</v>
      </c>
      <c r="O23" s="94" t="s">
        <v>118</v>
      </c>
      <c r="P23" s="94" t="s">
        <v>119</v>
      </c>
      <c r="Q23" s="94" t="s">
        <v>120</v>
      </c>
      <c r="R23" s="94" t="s">
        <v>121</v>
      </c>
      <c r="S23" s="94" t="s">
        <v>122</v>
      </c>
      <c r="T23" s="94" t="s">
        <v>123</v>
      </c>
      <c r="U23" s="94" t="s">
        <v>124</v>
      </c>
      <c r="V23" s="94" t="s">
        <v>24</v>
      </c>
      <c r="W23" s="94" t="s">
        <v>25</v>
      </c>
      <c r="X23" s="94" t="str">
        <f t="shared" ref="X23:AC23" si="85">+X2</f>
        <v>Q2 2021</v>
      </c>
      <c r="Y23" s="94" t="str">
        <f t="shared" si="85"/>
        <v>Q3 2021</v>
      </c>
      <c r="Z23" s="94" t="str">
        <f t="shared" si="85"/>
        <v>Q4 2021</v>
      </c>
      <c r="AA23" s="94" t="str">
        <f t="shared" si="85"/>
        <v>FY 2021</v>
      </c>
      <c r="AB23" s="94" t="str">
        <f t="shared" si="85"/>
        <v>Q1 2022</v>
      </c>
      <c r="AC23" s="94" t="str">
        <f t="shared" si="85"/>
        <v>Q2 2022</v>
      </c>
      <c r="AD23" s="94" t="str">
        <f t="shared" ref="AD23:AE23" si="86">+AD2</f>
        <v>Q3 2022</v>
      </c>
      <c r="AE23" s="94" t="str">
        <f t="shared" si="86"/>
        <v>Q4 2022</v>
      </c>
      <c r="AF23" s="94" t="str">
        <f t="shared" ref="AF23:AG23" si="87">+AF2</f>
        <v>FY 2022</v>
      </c>
      <c r="AG23" s="94" t="str">
        <f t="shared" si="87"/>
        <v>Q1 2023</v>
      </c>
      <c r="AH23" s="94" t="str">
        <f t="shared" ref="AH23:AI23" si="88">+AH2</f>
        <v>Q2 2023</v>
      </c>
      <c r="AI23" s="94" t="str">
        <f t="shared" si="88"/>
        <v>Q3 2023</v>
      </c>
      <c r="AJ23" s="94" t="str">
        <f t="shared" ref="AJ23:AK23" si="89">+AJ2</f>
        <v>Q4 2023</v>
      </c>
      <c r="AK23" s="94" t="str">
        <f t="shared" si="89"/>
        <v>FY 2023</v>
      </c>
      <c r="AL23" s="94" t="str">
        <f t="shared" ref="AL23:AM23" si="90">+AL2</f>
        <v>Q1 2024</v>
      </c>
      <c r="AM23" s="94" t="str">
        <f t="shared" si="90"/>
        <v>Q2 2024</v>
      </c>
      <c r="AN23" s="94" t="str">
        <f t="shared" ref="AN23:AO23" si="91">+AN2</f>
        <v>Q3 2024</v>
      </c>
      <c r="AO23" s="94" t="str">
        <f t="shared" si="91"/>
        <v>Q4 2024</v>
      </c>
      <c r="AP23" s="94" t="str">
        <f t="shared" ref="AP23:AQ23" si="92">+AP2</f>
        <v>FY 2024</v>
      </c>
      <c r="AQ23" s="94" t="str">
        <f t="shared" si="92"/>
        <v>Q1 2025</v>
      </c>
      <c r="AR23" s="94" t="str">
        <f t="shared" ref="AR23" si="93">+AR2</f>
        <v>Q2 2025</v>
      </c>
    </row>
    <row r="24" spans="1:44" ht="13.5" customHeight="1" x14ac:dyDescent="0.25">
      <c r="A24" s="11" t="s">
        <v>186</v>
      </c>
      <c r="B24" s="12">
        <v>36.200000000000003</v>
      </c>
      <c r="C24" s="12">
        <v>24.9</v>
      </c>
      <c r="D24" s="12">
        <v>19.2</v>
      </c>
      <c r="E24" s="12">
        <v>-115.3</v>
      </c>
      <c r="F24" s="12">
        <v>-35</v>
      </c>
      <c r="G24" s="12">
        <v>4.7</v>
      </c>
      <c r="H24" s="12">
        <v>34.9</v>
      </c>
      <c r="I24" s="12">
        <v>27.8</v>
      </c>
      <c r="J24" s="12">
        <v>16.399999999999999</v>
      </c>
      <c r="K24" s="12">
        <v>83.8</v>
      </c>
      <c r="L24" s="12">
        <v>31.8</v>
      </c>
      <c r="M24" s="12">
        <f t="shared" ref="M24" si="94">21.8-0.3</f>
        <v>21.5</v>
      </c>
      <c r="N24" s="12">
        <f>35.4-0.1</f>
        <v>35.299999999999997</v>
      </c>
      <c r="O24" s="12">
        <f>57.1-0.5</f>
        <v>56.6</v>
      </c>
      <c r="P24" s="12">
        <f t="shared" ref="P24:P27" si="95">SUM(L24:O24)</f>
        <v>145.19999999999999</v>
      </c>
      <c r="Q24" s="12">
        <f>50.5-0.5</f>
        <v>50</v>
      </c>
      <c r="R24" s="12">
        <f>68.5-0.4</f>
        <v>68.099999999999994</v>
      </c>
      <c r="S24" s="12">
        <f>46.1-0.1</f>
        <v>46</v>
      </c>
      <c r="T24" s="12">
        <f>22.1+0.3</f>
        <v>22.400000000000002</v>
      </c>
      <c r="U24" s="12">
        <f>SUM(Q24:T24)</f>
        <v>186.5</v>
      </c>
      <c r="V24" s="12">
        <v>-140.6</v>
      </c>
      <c r="W24" s="12">
        <v>44.4</v>
      </c>
      <c r="X24" s="12">
        <v>29</v>
      </c>
      <c r="Y24" s="12">
        <v>33.4</v>
      </c>
      <c r="Z24" s="12">
        <f>-50.6+6.2</f>
        <v>-44.4</v>
      </c>
      <c r="AA24" s="12">
        <f>+W24+X24+Y24+Z24</f>
        <v>62.400000000000013</v>
      </c>
      <c r="AB24" s="12">
        <f t="shared" ref="AB24:AG24" si="96">AB10+AB17</f>
        <v>35.899999999999984</v>
      </c>
      <c r="AC24" s="12">
        <f t="shared" si="96"/>
        <v>30.499999999999993</v>
      </c>
      <c r="AD24" s="12">
        <f t="shared" si="96"/>
        <v>33.700000000000003</v>
      </c>
      <c r="AE24" s="12">
        <f t="shared" si="96"/>
        <v>42.8</v>
      </c>
      <c r="AF24" s="12">
        <f t="shared" si="96"/>
        <v>142.89999999999998</v>
      </c>
      <c r="AG24" s="12">
        <f t="shared" si="96"/>
        <v>43.900000000000006</v>
      </c>
      <c r="AH24" s="12">
        <f t="shared" ref="AH24" si="97">AH10+AH17</f>
        <v>24.6</v>
      </c>
      <c r="AI24" s="12">
        <v>44.3</v>
      </c>
      <c r="AJ24" s="12">
        <f>46.4+1.1</f>
        <v>47.5</v>
      </c>
      <c r="AK24" s="12">
        <f>SUM(AG24:AJ24)</f>
        <v>160.30000000000001</v>
      </c>
      <c r="AL24" s="12">
        <v>45</v>
      </c>
      <c r="AM24" s="12">
        <v>36.4</v>
      </c>
      <c r="AN24" s="12">
        <v>42.2</v>
      </c>
      <c r="AO24" s="12">
        <v>34.200000000000003</v>
      </c>
      <c r="AP24" s="12">
        <f>SUM(AL24:AO24)</f>
        <v>157.80000000000001</v>
      </c>
      <c r="AQ24" s="12">
        <v>76.2</v>
      </c>
      <c r="AR24" s="13">
        <v>25.2</v>
      </c>
    </row>
    <row r="25" spans="1:44" ht="13.5" hidden="1" customHeight="1" x14ac:dyDescent="0.25">
      <c r="A25" s="14" t="s">
        <v>187</v>
      </c>
      <c r="B25" s="68">
        <v>0</v>
      </c>
      <c r="C25" s="68">
        <v>0</v>
      </c>
      <c r="D25" s="68">
        <v>0</v>
      </c>
      <c r="E25" s="45">
        <v>0</v>
      </c>
      <c r="F25" s="45">
        <v>0</v>
      </c>
      <c r="G25" s="45">
        <v>0</v>
      </c>
      <c r="H25" s="12">
        <v>-1.5</v>
      </c>
      <c r="I25" s="12">
        <v>-0.9</v>
      </c>
      <c r="J25" s="12">
        <v>-1.2</v>
      </c>
      <c r="K25" s="12">
        <v>-3.6</v>
      </c>
      <c r="L25" s="12">
        <v>-0.3</v>
      </c>
      <c r="M25" s="12">
        <v>0.3</v>
      </c>
      <c r="N25" s="16">
        <v>4.9000000000000004</v>
      </c>
      <c r="O25" s="16">
        <v>8.5</v>
      </c>
      <c r="P25" s="12">
        <f t="shared" si="95"/>
        <v>13.4</v>
      </c>
      <c r="Q25" s="12">
        <v>35.700000000000003</v>
      </c>
      <c r="R25" s="12">
        <v>22.4</v>
      </c>
      <c r="S25" s="12">
        <v>21.2</v>
      </c>
      <c r="T25" s="12">
        <v>36.200000000000003</v>
      </c>
      <c r="U25" s="12">
        <f t="shared" ref="U25:U27" si="98">SUM(Q25:T25)</f>
        <v>115.5</v>
      </c>
      <c r="V25" s="12">
        <v>-0.8</v>
      </c>
      <c r="W25" s="45">
        <v>0</v>
      </c>
      <c r="X25" s="45">
        <v>0</v>
      </c>
      <c r="Y25" s="68">
        <v>0</v>
      </c>
      <c r="Z25" s="68">
        <v>0</v>
      </c>
      <c r="AA25" s="68">
        <f t="shared" ref="AA25:AA27" si="99">+W25+X25+Y25+Z25</f>
        <v>0</v>
      </c>
      <c r="AB25" s="68">
        <f t="shared" ref="AB25:AC27" si="100">AB11+AB18</f>
        <v>0</v>
      </c>
      <c r="AC25" s="68">
        <f t="shared" si="100"/>
        <v>0</v>
      </c>
      <c r="AD25" s="68">
        <f t="shared" ref="AD25:AE25" si="101">AD11+AD18</f>
        <v>0</v>
      </c>
      <c r="AE25" s="68">
        <f t="shared" si="101"/>
        <v>0</v>
      </c>
      <c r="AF25" s="68">
        <f>AF11+AF18</f>
        <v>0</v>
      </c>
      <c r="AG25" s="68">
        <f t="shared" ref="AG25:AH25" si="102">AG11+AG18</f>
        <v>0</v>
      </c>
      <c r="AH25" s="68">
        <f t="shared" si="102"/>
        <v>0</v>
      </c>
      <c r="AI25" s="68">
        <f t="shared" ref="AI25:AJ25" si="103">AI11+AI18</f>
        <v>0</v>
      </c>
      <c r="AJ25" s="68">
        <f t="shared" si="103"/>
        <v>0</v>
      </c>
      <c r="AK25" s="68">
        <f t="shared" ref="AK25" si="104">AK11+AK18</f>
        <v>0</v>
      </c>
      <c r="AL25" s="68"/>
      <c r="AM25" s="68"/>
      <c r="AN25" s="68"/>
      <c r="AO25" s="68"/>
      <c r="AP25" s="68"/>
      <c r="AQ25" s="68"/>
      <c r="AR25" s="78"/>
    </row>
    <row r="26" spans="1:44" ht="13.5" customHeight="1" x14ac:dyDescent="0.25">
      <c r="A26" s="14" t="s">
        <v>188</v>
      </c>
      <c r="B26" s="45">
        <v>0</v>
      </c>
      <c r="C26" s="45">
        <v>0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45">
        <v>0</v>
      </c>
      <c r="U26" s="45">
        <v>0</v>
      </c>
      <c r="V26" s="45">
        <v>0</v>
      </c>
      <c r="W26" s="12">
        <v>-3</v>
      </c>
      <c r="X26" s="12">
        <v>-5.8</v>
      </c>
      <c r="Y26" s="12">
        <v>-5.0999999999999996</v>
      </c>
      <c r="Z26" s="12">
        <v>-6.5</v>
      </c>
      <c r="AA26" s="12">
        <f t="shared" si="99"/>
        <v>-20.399999999999999</v>
      </c>
      <c r="AB26" s="12">
        <f t="shared" si="100"/>
        <v>-5.5</v>
      </c>
      <c r="AC26" s="12">
        <f t="shared" si="100"/>
        <v>-4.7</v>
      </c>
      <c r="AD26" s="12">
        <f t="shared" ref="AD26:AE26" si="105">AD12+AD19</f>
        <v>-4.0999999999999996</v>
      </c>
      <c r="AE26" s="12">
        <f t="shared" si="105"/>
        <v>-4.5999999999999996</v>
      </c>
      <c r="AF26" s="12">
        <f>AF12+AF19</f>
        <v>-18.899999999999999</v>
      </c>
      <c r="AG26" s="12">
        <f t="shared" ref="AG26:AH26" si="106">AG12+AG19</f>
        <v>-6.6999999999999993</v>
      </c>
      <c r="AH26" s="12">
        <f t="shared" si="106"/>
        <v>-6.4</v>
      </c>
      <c r="AI26" s="12">
        <v>-6.1</v>
      </c>
      <c r="AJ26" s="12">
        <f>-3.1-0.1</f>
        <v>-3.2</v>
      </c>
      <c r="AK26" s="12">
        <f>SUM(AG26:AJ26)</f>
        <v>-22.4</v>
      </c>
      <c r="AL26" s="12">
        <v>-4.0999999999999996</v>
      </c>
      <c r="AM26" s="12">
        <v>-4.5</v>
      </c>
      <c r="AN26" s="12">
        <v>-4.5999999999999996</v>
      </c>
      <c r="AO26" s="12">
        <v>-3.4</v>
      </c>
      <c r="AP26" s="12">
        <f>SUM(AL26:AO26)</f>
        <v>-16.599999999999998</v>
      </c>
      <c r="AQ26" s="12">
        <v>-2.5</v>
      </c>
      <c r="AR26" s="13">
        <v>-4</v>
      </c>
    </row>
    <row r="27" spans="1:44" ht="13.5" customHeight="1" x14ac:dyDescent="0.25">
      <c r="A27" s="14" t="s">
        <v>189</v>
      </c>
      <c r="B27" s="68">
        <v>0</v>
      </c>
      <c r="C27" s="68">
        <v>0</v>
      </c>
      <c r="D27" s="68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16">
        <v>-0.6</v>
      </c>
      <c r="O27" s="16">
        <v>-1.4</v>
      </c>
      <c r="P27" s="12">
        <f t="shared" si="95"/>
        <v>-2</v>
      </c>
      <c r="Q27" s="12">
        <v>-3.4</v>
      </c>
      <c r="R27" s="12">
        <v>-0.4</v>
      </c>
      <c r="S27" s="12">
        <v>-1.6</v>
      </c>
      <c r="T27" s="12">
        <v>0.3</v>
      </c>
      <c r="U27" s="12">
        <f t="shared" si="98"/>
        <v>-5.1000000000000005</v>
      </c>
      <c r="V27" s="12">
        <v>-3.4</v>
      </c>
      <c r="W27" s="45">
        <v>0</v>
      </c>
      <c r="X27" s="45">
        <v>0</v>
      </c>
      <c r="Y27" s="68">
        <v>0</v>
      </c>
      <c r="Z27" s="68">
        <v>0</v>
      </c>
      <c r="AA27" s="68">
        <f t="shared" si="99"/>
        <v>0</v>
      </c>
      <c r="AB27" s="68">
        <f t="shared" si="100"/>
        <v>0</v>
      </c>
      <c r="AC27" s="68">
        <f t="shared" si="100"/>
        <v>0</v>
      </c>
      <c r="AD27" s="68">
        <f t="shared" ref="AD27:AE27" si="107">AD13+AD20</f>
        <v>0</v>
      </c>
      <c r="AE27" s="12">
        <f t="shared" si="107"/>
        <v>-0.4</v>
      </c>
      <c r="AF27" s="12">
        <f>AF13+AF20</f>
        <v>-0.4</v>
      </c>
      <c r="AG27" s="12">
        <v>0</v>
      </c>
      <c r="AH27" s="68">
        <v>0</v>
      </c>
      <c r="AI27" s="68">
        <v>0</v>
      </c>
      <c r="AJ27" s="68">
        <v>0</v>
      </c>
      <c r="AK27" s="68">
        <v>0</v>
      </c>
      <c r="AL27" s="68">
        <v>0</v>
      </c>
      <c r="AM27" s="68">
        <v>0</v>
      </c>
      <c r="AN27" s="68">
        <v>0</v>
      </c>
      <c r="AO27" s="68">
        <v>0</v>
      </c>
      <c r="AP27" s="68">
        <f>SUM(AL27:AO27)</f>
        <v>0</v>
      </c>
      <c r="AQ27" s="68">
        <v>0</v>
      </c>
      <c r="AR27" s="180">
        <v>0</v>
      </c>
    </row>
    <row r="28" spans="1:44" ht="13.5" customHeight="1" x14ac:dyDescent="0.25">
      <c r="A28" s="17" t="s">
        <v>193</v>
      </c>
      <c r="B28" s="18">
        <f t="shared" ref="B28:P28" si="108">SUM(B24:B27)</f>
        <v>36.200000000000003</v>
      </c>
      <c r="C28" s="18">
        <f t="shared" ref="C28:E28" si="109">SUM(C24:C27)</f>
        <v>24.9</v>
      </c>
      <c r="D28" s="18">
        <f t="shared" si="109"/>
        <v>19.2</v>
      </c>
      <c r="E28" s="18">
        <f t="shared" si="109"/>
        <v>-115.3</v>
      </c>
      <c r="F28" s="18">
        <f t="shared" ref="F28:M28" si="110">SUM(F24:F27)</f>
        <v>-35</v>
      </c>
      <c r="G28" s="18">
        <f t="shared" ref="G28:I28" si="111">SUM(G24:G27)</f>
        <v>4.7</v>
      </c>
      <c r="H28" s="18">
        <f t="shared" si="111"/>
        <v>33.4</v>
      </c>
      <c r="I28" s="18">
        <f t="shared" si="111"/>
        <v>26.900000000000002</v>
      </c>
      <c r="J28" s="18">
        <f t="shared" ref="J28:L28" si="112">SUM(J24:J27)</f>
        <v>15.2</v>
      </c>
      <c r="K28" s="18">
        <f t="shared" si="112"/>
        <v>80.2</v>
      </c>
      <c r="L28" s="18">
        <f t="shared" si="112"/>
        <v>31.5</v>
      </c>
      <c r="M28" s="18">
        <f t="shared" si="110"/>
        <v>21.8</v>
      </c>
      <c r="N28" s="18">
        <f t="shared" si="108"/>
        <v>39.599999999999994</v>
      </c>
      <c r="O28" s="18">
        <f t="shared" si="108"/>
        <v>63.699999999999996</v>
      </c>
      <c r="P28" s="18">
        <f t="shared" si="108"/>
        <v>156.6</v>
      </c>
      <c r="Q28" s="18">
        <f t="shared" ref="Q28:R28" si="113">SUM(Q24:Q27)</f>
        <v>82.3</v>
      </c>
      <c r="R28" s="18">
        <f t="shared" si="113"/>
        <v>90.1</v>
      </c>
      <c r="S28" s="18">
        <f t="shared" ref="S28:T28" si="114">SUM(S24:S27)</f>
        <v>65.600000000000009</v>
      </c>
      <c r="T28" s="18">
        <f t="shared" si="114"/>
        <v>58.900000000000006</v>
      </c>
      <c r="U28" s="18">
        <f t="shared" ref="U28:V28" si="115">SUM(U24:U27)</f>
        <v>296.89999999999998</v>
      </c>
      <c r="V28" s="18">
        <f t="shared" si="115"/>
        <v>-144.80000000000001</v>
      </c>
      <c r="W28" s="18">
        <f t="shared" ref="W28:X28" si="116">SUM(W24:W27)</f>
        <v>41.4</v>
      </c>
      <c r="X28" s="18">
        <f t="shared" si="116"/>
        <v>23.2</v>
      </c>
      <c r="Y28" s="18">
        <f t="shared" ref="Y28:Z28" si="117">SUM(Y24:Y27)</f>
        <v>28.299999999999997</v>
      </c>
      <c r="Z28" s="18">
        <f t="shared" si="117"/>
        <v>-50.9</v>
      </c>
      <c r="AA28" s="18">
        <f t="shared" ref="AA28:AB28" si="118">SUM(AA24:AA27)</f>
        <v>42.000000000000014</v>
      </c>
      <c r="AB28" s="18">
        <f t="shared" si="118"/>
        <v>30.399999999999984</v>
      </c>
      <c r="AC28" s="18">
        <f t="shared" ref="AC28:AD28" si="119">SUM(AC24:AC27)</f>
        <v>25.799999999999994</v>
      </c>
      <c r="AD28" s="18">
        <f t="shared" si="119"/>
        <v>29.6</v>
      </c>
      <c r="AE28" s="18">
        <f t="shared" ref="AE28:AF28" si="120">SUM(AE24:AE27)</f>
        <v>37.799999999999997</v>
      </c>
      <c r="AF28" s="18">
        <f t="shared" si="120"/>
        <v>123.59999999999997</v>
      </c>
      <c r="AG28" s="18">
        <f t="shared" ref="AG28:AH28" si="121">SUM(AG24:AG27)</f>
        <v>37.200000000000003</v>
      </c>
      <c r="AH28" s="18">
        <f t="shared" si="121"/>
        <v>18.200000000000003</v>
      </c>
      <c r="AI28" s="18">
        <f t="shared" ref="AI28:AN28" si="122">SUM(AI24:AI27)</f>
        <v>38.199999999999996</v>
      </c>
      <c r="AJ28" s="18">
        <f t="shared" si="122"/>
        <v>44.3</v>
      </c>
      <c r="AK28" s="18">
        <f t="shared" si="122"/>
        <v>137.9</v>
      </c>
      <c r="AL28" s="18">
        <f t="shared" si="122"/>
        <v>40.9</v>
      </c>
      <c r="AM28" s="18">
        <f t="shared" si="122"/>
        <v>31.9</v>
      </c>
      <c r="AN28" s="18">
        <f t="shared" si="122"/>
        <v>37.6</v>
      </c>
      <c r="AO28" s="18">
        <f t="shared" ref="AO28:AQ28" si="123">SUM(AO24:AO27)</f>
        <v>30.800000000000004</v>
      </c>
      <c r="AP28" s="18">
        <f t="shared" si="123"/>
        <v>141.20000000000002</v>
      </c>
      <c r="AQ28" s="18">
        <f t="shared" si="123"/>
        <v>73.7</v>
      </c>
      <c r="AR28" s="19">
        <f t="shared" ref="AR28" si="124">SUM(AR24:AR27)</f>
        <v>21.2</v>
      </c>
    </row>
    <row r="29" spans="1:44" ht="13.5" customHeight="1" x14ac:dyDescent="0.25"/>
    <row r="30" spans="1:44" ht="13.5" customHeight="1" x14ac:dyDescent="0.25">
      <c r="A30" s="93"/>
      <c r="B30" s="94" t="s">
        <v>0</v>
      </c>
      <c r="C30" s="94" t="s">
        <v>1</v>
      </c>
      <c r="D30" s="94" t="s">
        <v>2</v>
      </c>
      <c r="E30" s="94" t="s">
        <v>3</v>
      </c>
      <c r="F30" s="94" t="s">
        <v>4</v>
      </c>
      <c r="G30" s="94" t="s">
        <v>110</v>
      </c>
      <c r="H30" s="94" t="s">
        <v>111</v>
      </c>
      <c r="I30" s="94" t="s">
        <v>112</v>
      </c>
      <c r="J30" s="94" t="s">
        <v>113</v>
      </c>
      <c r="K30" s="94" t="s">
        <v>114</v>
      </c>
      <c r="L30" s="94" t="s">
        <v>115</v>
      </c>
      <c r="M30" s="94" t="s">
        <v>116</v>
      </c>
      <c r="N30" s="94" t="s">
        <v>117</v>
      </c>
      <c r="O30" s="94" t="s">
        <v>118</v>
      </c>
      <c r="P30" s="94" t="s">
        <v>119</v>
      </c>
      <c r="Q30" s="94" t="s">
        <v>120</v>
      </c>
      <c r="R30" s="94" t="s">
        <v>121</v>
      </c>
      <c r="S30" s="94" t="s">
        <v>122</v>
      </c>
      <c r="T30" s="94" t="s">
        <v>123</v>
      </c>
      <c r="U30" s="94" t="s">
        <v>124</v>
      </c>
      <c r="V30" s="94" t="s">
        <v>24</v>
      </c>
      <c r="W30" s="94" t="s">
        <v>25</v>
      </c>
      <c r="X30" s="94" t="str">
        <f t="shared" ref="X30:AC30" si="125">+X2</f>
        <v>Q2 2021</v>
      </c>
      <c r="Y30" s="94" t="str">
        <f t="shared" si="125"/>
        <v>Q3 2021</v>
      </c>
      <c r="Z30" s="94" t="str">
        <f t="shared" si="125"/>
        <v>Q4 2021</v>
      </c>
      <c r="AA30" s="94" t="str">
        <f t="shared" si="125"/>
        <v>FY 2021</v>
      </c>
      <c r="AB30" s="94" t="str">
        <f t="shared" si="125"/>
        <v>Q1 2022</v>
      </c>
      <c r="AC30" s="94" t="str">
        <f t="shared" si="125"/>
        <v>Q2 2022</v>
      </c>
      <c r="AD30" s="94" t="str">
        <f t="shared" ref="AD30:AE30" si="126">+AD2</f>
        <v>Q3 2022</v>
      </c>
      <c r="AE30" s="94" t="str">
        <f t="shared" si="126"/>
        <v>Q4 2022</v>
      </c>
      <c r="AF30" s="94" t="str">
        <f t="shared" ref="AF30:AG30" si="127">+AF2</f>
        <v>FY 2022</v>
      </c>
      <c r="AG30" s="94" t="str">
        <f t="shared" si="127"/>
        <v>Q1 2023</v>
      </c>
      <c r="AH30" s="94" t="str">
        <f t="shared" ref="AH30:AI30" si="128">+AH2</f>
        <v>Q2 2023</v>
      </c>
      <c r="AI30" s="94" t="str">
        <f t="shared" si="128"/>
        <v>Q3 2023</v>
      </c>
      <c r="AJ30" s="94" t="str">
        <f t="shared" ref="AJ30:AK30" si="129">+AJ2</f>
        <v>Q4 2023</v>
      </c>
      <c r="AK30" s="94" t="str">
        <f t="shared" si="129"/>
        <v>FY 2023</v>
      </c>
      <c r="AL30" s="94" t="str">
        <f t="shared" ref="AL30:AM30" si="130">+AL2</f>
        <v>Q1 2024</v>
      </c>
      <c r="AM30" s="94" t="str">
        <f t="shared" si="130"/>
        <v>Q2 2024</v>
      </c>
      <c r="AN30" s="94" t="str">
        <f t="shared" ref="AN30:AO30" si="131">+AN2</f>
        <v>Q3 2024</v>
      </c>
      <c r="AO30" s="94" t="str">
        <f t="shared" si="131"/>
        <v>Q4 2024</v>
      </c>
      <c r="AP30" s="94" t="str">
        <f t="shared" ref="AP30:AQ30" si="132">+AP2</f>
        <v>FY 2024</v>
      </c>
      <c r="AQ30" s="94" t="str">
        <f t="shared" si="132"/>
        <v>Q1 2025</v>
      </c>
      <c r="AR30" s="94" t="str">
        <f t="shared" ref="AR30" si="133">+AR2</f>
        <v>Q2 2025</v>
      </c>
    </row>
    <row r="31" spans="1:44" ht="13.5" customHeight="1" x14ac:dyDescent="0.25">
      <c r="A31" s="11" t="s">
        <v>186</v>
      </c>
      <c r="B31" s="12">
        <v>89.7</v>
      </c>
      <c r="C31" s="12">
        <v>118.2</v>
      </c>
      <c r="D31" s="12">
        <v>117.2</v>
      </c>
      <c r="E31" s="12">
        <v>76.2</v>
      </c>
      <c r="F31" s="12">
        <v>401.3</v>
      </c>
      <c r="G31" s="12">
        <v>54.5</v>
      </c>
      <c r="H31" s="12">
        <v>65.400000000000006</v>
      </c>
      <c r="I31" s="12">
        <v>171.3</v>
      </c>
      <c r="J31" s="12">
        <v>132.80000000000001</v>
      </c>
      <c r="K31" s="12">
        <v>424</v>
      </c>
      <c r="L31" s="12">
        <v>47</v>
      </c>
      <c r="M31" s="12">
        <v>48.3</v>
      </c>
      <c r="N31" s="12">
        <v>54.3</v>
      </c>
      <c r="O31" s="12">
        <v>37.799999999999997</v>
      </c>
      <c r="P31" s="12">
        <f t="shared" ref="P31:P34" si="134">SUM(L31:O31)</f>
        <v>187.39999999999998</v>
      </c>
      <c r="Q31" s="12">
        <v>29.9</v>
      </c>
      <c r="R31" s="12">
        <v>33.5</v>
      </c>
      <c r="S31" s="12">
        <v>24.5</v>
      </c>
      <c r="T31" s="12">
        <v>42.4</v>
      </c>
      <c r="U31" s="12">
        <f>SUM(Q31:T31)</f>
        <v>130.30000000000001</v>
      </c>
      <c r="V31" s="12">
        <v>42.7</v>
      </c>
      <c r="W31" s="12">
        <v>12.8</v>
      </c>
      <c r="X31" s="12">
        <v>52.8</v>
      </c>
      <c r="Y31" s="12">
        <v>64.099999999999994</v>
      </c>
      <c r="Z31" s="12">
        <v>287.5</v>
      </c>
      <c r="AA31" s="12">
        <f>+W31+X31+Y31+Z31</f>
        <v>417.2</v>
      </c>
      <c r="AB31" s="12">
        <v>137.80000000000001</v>
      </c>
      <c r="AC31" s="12">
        <v>167.2</v>
      </c>
      <c r="AD31" s="12">
        <v>208</v>
      </c>
      <c r="AE31" s="12">
        <v>266.10000000000002</v>
      </c>
      <c r="AF31" s="12">
        <f>SUM(AB31:AE31)</f>
        <v>779.1</v>
      </c>
      <c r="AG31" s="12">
        <v>143.69999999999999</v>
      </c>
      <c r="AH31" s="12">
        <v>215.8</v>
      </c>
      <c r="AI31" s="12">
        <v>194.1</v>
      </c>
      <c r="AJ31" s="12">
        <f>213.9+0.3</f>
        <v>214.20000000000002</v>
      </c>
      <c r="AK31" s="12">
        <f>SUM(AG31:AJ31)</f>
        <v>767.80000000000007</v>
      </c>
      <c r="AL31" s="12">
        <v>120.1</v>
      </c>
      <c r="AM31" s="12">
        <v>122.1</v>
      </c>
      <c r="AN31" s="12">
        <v>109.9</v>
      </c>
      <c r="AO31" s="12">
        <v>141.1</v>
      </c>
      <c r="AP31" s="12">
        <f>SUM(AL31:AO31)</f>
        <v>493.20000000000005</v>
      </c>
      <c r="AQ31" s="12">
        <v>85</v>
      </c>
      <c r="AR31" s="13">
        <v>163.69999999999999</v>
      </c>
    </row>
    <row r="32" spans="1:44" ht="13.5" hidden="1" customHeight="1" x14ac:dyDescent="0.25">
      <c r="A32" s="14" t="s">
        <v>187</v>
      </c>
      <c r="B32" s="68">
        <v>0</v>
      </c>
      <c r="C32" s="68">
        <v>0</v>
      </c>
      <c r="D32" s="68">
        <v>0</v>
      </c>
      <c r="E32" s="45">
        <v>0</v>
      </c>
      <c r="F32" s="45">
        <v>0</v>
      </c>
      <c r="G32" s="12">
        <v>0.9</v>
      </c>
      <c r="H32" s="12">
        <v>52.7</v>
      </c>
      <c r="I32" s="12">
        <v>4.5999999999999996</v>
      </c>
      <c r="J32" s="12">
        <v>9</v>
      </c>
      <c r="K32" s="12">
        <v>67.2</v>
      </c>
      <c r="L32" s="12">
        <v>46.4</v>
      </c>
      <c r="M32" s="12">
        <v>66.5</v>
      </c>
      <c r="N32" s="16">
        <v>75</v>
      </c>
      <c r="O32" s="16">
        <v>19.600000000000001</v>
      </c>
      <c r="P32" s="12">
        <f t="shared" si="134"/>
        <v>207.5</v>
      </c>
      <c r="Q32" s="12">
        <v>17.8</v>
      </c>
      <c r="R32" s="12">
        <v>11.2</v>
      </c>
      <c r="S32" s="12">
        <v>72.599999999999994</v>
      </c>
      <c r="T32" s="12">
        <v>40.799999999999997</v>
      </c>
      <c r="U32" s="12">
        <f t="shared" ref="U32:U34" si="135">SUM(Q32:T32)</f>
        <v>142.39999999999998</v>
      </c>
      <c r="V32" s="12">
        <v>30.2</v>
      </c>
      <c r="W32" s="45">
        <v>0</v>
      </c>
      <c r="X32" s="45">
        <v>0</v>
      </c>
      <c r="Y32" s="68">
        <v>0</v>
      </c>
      <c r="Z32" s="68">
        <v>0</v>
      </c>
      <c r="AA32" s="26">
        <f t="shared" ref="AA32:AA34" si="136">+W32+X32+Y32+Z32</f>
        <v>0</v>
      </c>
      <c r="AB32" s="26">
        <v>0</v>
      </c>
      <c r="AC32" s="26">
        <v>0</v>
      </c>
      <c r="AD32" s="26">
        <v>0</v>
      </c>
      <c r="AE32" s="26">
        <v>0</v>
      </c>
      <c r="AF32" s="68">
        <f t="shared" ref="AF32:AF34" si="137">SUM(AB32:AE32)</f>
        <v>0</v>
      </c>
      <c r="AG32" s="68">
        <v>0</v>
      </c>
      <c r="AH32" s="68">
        <v>0</v>
      </c>
      <c r="AI32" s="68">
        <v>0</v>
      </c>
      <c r="AJ32" s="68">
        <v>0</v>
      </c>
      <c r="AK32" s="68">
        <v>0</v>
      </c>
      <c r="AL32" s="68"/>
      <c r="AM32" s="68"/>
      <c r="AN32" s="68"/>
      <c r="AO32" s="68"/>
      <c r="AP32" s="68"/>
      <c r="AQ32" s="68"/>
      <c r="AR32" s="78"/>
    </row>
    <row r="33" spans="1:44" ht="13.5" customHeight="1" x14ac:dyDescent="0.25">
      <c r="A33" s="14" t="s">
        <v>188</v>
      </c>
      <c r="B33" s="45">
        <v>0</v>
      </c>
      <c r="C33" s="45">
        <v>0</v>
      </c>
      <c r="D33" s="45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45">
        <v>0</v>
      </c>
      <c r="Q33" s="45">
        <v>0</v>
      </c>
      <c r="R33" s="45">
        <v>0</v>
      </c>
      <c r="S33" s="45">
        <v>0</v>
      </c>
      <c r="T33" s="45">
        <v>0</v>
      </c>
      <c r="U33" s="45">
        <v>0</v>
      </c>
      <c r="V33" s="45">
        <v>0</v>
      </c>
      <c r="W33" s="45">
        <v>0.1</v>
      </c>
      <c r="X33" s="45">
        <v>0.6</v>
      </c>
      <c r="Y33" s="26">
        <v>8.3000000000000007</v>
      </c>
      <c r="Z33" s="26">
        <v>1.4</v>
      </c>
      <c r="AA33" s="12">
        <f t="shared" si="136"/>
        <v>10.4</v>
      </c>
      <c r="AB33" s="12">
        <v>0.2</v>
      </c>
      <c r="AC33" s="12">
        <v>2.5</v>
      </c>
      <c r="AD33" s="12">
        <v>1.3</v>
      </c>
      <c r="AE33" s="26">
        <v>0.1</v>
      </c>
      <c r="AF33" s="12">
        <f t="shared" si="137"/>
        <v>4.0999999999999996</v>
      </c>
      <c r="AG33" s="12">
        <v>0.2</v>
      </c>
      <c r="AH33" s="26">
        <v>0.3</v>
      </c>
      <c r="AI33" s="26">
        <v>0.3</v>
      </c>
      <c r="AJ33" s="26">
        <v>1.5</v>
      </c>
      <c r="AK33" s="26">
        <f>SUM(AG33:AJ33)</f>
        <v>2.2999999999999998</v>
      </c>
      <c r="AL33" s="26">
        <v>0.6</v>
      </c>
      <c r="AM33" s="26">
        <v>0.7</v>
      </c>
      <c r="AN33" s="26">
        <v>0.8</v>
      </c>
      <c r="AO33" s="26">
        <v>0.5</v>
      </c>
      <c r="AP33" s="26">
        <f>SUM(AL33:AO33)</f>
        <v>2.5999999999999996</v>
      </c>
      <c r="AQ33" s="26">
        <v>0.6</v>
      </c>
      <c r="AR33" s="13">
        <v>0.4</v>
      </c>
    </row>
    <row r="34" spans="1:44" ht="13.5" hidden="1" customHeight="1" x14ac:dyDescent="0.25">
      <c r="A34" s="14" t="s">
        <v>189</v>
      </c>
      <c r="B34" s="68">
        <v>0</v>
      </c>
      <c r="C34" s="68">
        <v>0</v>
      </c>
      <c r="D34" s="68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12">
        <v>-23.9</v>
      </c>
      <c r="N34" s="12">
        <v>-6.1</v>
      </c>
      <c r="O34" s="12">
        <v>-4.4000000000000004</v>
      </c>
      <c r="P34" s="12">
        <f t="shared" si="134"/>
        <v>-34.4</v>
      </c>
      <c r="Q34" s="12">
        <v>-1.3</v>
      </c>
      <c r="R34" s="12">
        <v>-1.8</v>
      </c>
      <c r="S34" s="12">
        <v>-3.7</v>
      </c>
      <c r="T34" s="68">
        <v>0</v>
      </c>
      <c r="U34" s="12">
        <f t="shared" si="135"/>
        <v>-6.8000000000000007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f t="shared" si="136"/>
        <v>0</v>
      </c>
      <c r="AB34" s="26">
        <v>0</v>
      </c>
      <c r="AC34" s="26">
        <v>0</v>
      </c>
      <c r="AD34" s="26">
        <v>0</v>
      </c>
      <c r="AE34" s="26">
        <v>0</v>
      </c>
      <c r="AF34" s="68">
        <f t="shared" si="137"/>
        <v>0</v>
      </c>
      <c r="AG34" s="68">
        <v>0</v>
      </c>
      <c r="AH34" s="68">
        <v>0</v>
      </c>
      <c r="AI34" s="68">
        <v>0</v>
      </c>
      <c r="AJ34" s="68">
        <v>0</v>
      </c>
      <c r="AK34" s="68">
        <v>0</v>
      </c>
      <c r="AL34" s="68">
        <v>0</v>
      </c>
      <c r="AM34" s="68">
        <v>0</v>
      </c>
      <c r="AN34" s="68">
        <v>0</v>
      </c>
      <c r="AO34" s="68">
        <v>0</v>
      </c>
      <c r="AP34" s="68">
        <v>0</v>
      </c>
      <c r="AQ34" s="68">
        <v>0</v>
      </c>
      <c r="AR34" s="78">
        <v>0</v>
      </c>
    </row>
    <row r="35" spans="1:44" ht="13.5" customHeight="1" x14ac:dyDescent="0.25">
      <c r="A35" s="17" t="s">
        <v>194</v>
      </c>
      <c r="B35" s="18">
        <f t="shared" ref="B35:P35" si="138">SUM(B31:B34)</f>
        <v>89.7</v>
      </c>
      <c r="C35" s="18">
        <f t="shared" ref="C35:E35" si="139">SUM(C31:C34)</f>
        <v>118.2</v>
      </c>
      <c r="D35" s="18">
        <f t="shared" si="139"/>
        <v>117.2</v>
      </c>
      <c r="E35" s="18">
        <f t="shared" si="139"/>
        <v>76.2</v>
      </c>
      <c r="F35" s="18">
        <f t="shared" ref="F35:M35" si="140">SUM(F31:F34)</f>
        <v>401.3</v>
      </c>
      <c r="G35" s="18">
        <f t="shared" ref="G35:I35" si="141">SUM(G31:G34)</f>
        <v>55.4</v>
      </c>
      <c r="H35" s="18">
        <f t="shared" si="141"/>
        <v>118.10000000000001</v>
      </c>
      <c r="I35" s="18">
        <f t="shared" si="141"/>
        <v>175.9</v>
      </c>
      <c r="J35" s="18">
        <f t="shared" ref="J35:L35" si="142">SUM(J31:J34)</f>
        <v>141.80000000000001</v>
      </c>
      <c r="K35" s="18">
        <f t="shared" si="142"/>
        <v>491.2</v>
      </c>
      <c r="L35" s="18">
        <f t="shared" si="142"/>
        <v>93.4</v>
      </c>
      <c r="M35" s="18">
        <f t="shared" si="140"/>
        <v>90.9</v>
      </c>
      <c r="N35" s="18">
        <f t="shared" si="138"/>
        <v>123.20000000000002</v>
      </c>
      <c r="O35" s="18">
        <f t="shared" si="138"/>
        <v>53</v>
      </c>
      <c r="P35" s="18">
        <f t="shared" si="138"/>
        <v>360.5</v>
      </c>
      <c r="Q35" s="18">
        <f t="shared" ref="Q35:R35" si="143">SUM(Q31:Q34)</f>
        <v>46.400000000000006</v>
      </c>
      <c r="R35" s="18">
        <f t="shared" si="143"/>
        <v>42.900000000000006</v>
      </c>
      <c r="S35" s="18">
        <f t="shared" ref="S35:T35" si="144">SUM(S31:S34)</f>
        <v>93.399999999999991</v>
      </c>
      <c r="T35" s="18">
        <f t="shared" si="144"/>
        <v>83.199999999999989</v>
      </c>
      <c r="U35" s="18">
        <f t="shared" ref="U35:V35" si="145">SUM(U31:U34)</f>
        <v>265.89999999999998</v>
      </c>
      <c r="V35" s="18">
        <f t="shared" si="145"/>
        <v>72.900000000000006</v>
      </c>
      <c r="W35" s="18">
        <f t="shared" ref="W35:X35" si="146">SUM(W31:W34)</f>
        <v>12.9</v>
      </c>
      <c r="X35" s="18">
        <f t="shared" si="146"/>
        <v>53.4</v>
      </c>
      <c r="Y35" s="18">
        <f t="shared" ref="Y35:Z35" si="147">SUM(Y31:Y34)</f>
        <v>72.399999999999991</v>
      </c>
      <c r="Z35" s="18">
        <f t="shared" si="147"/>
        <v>288.89999999999998</v>
      </c>
      <c r="AA35" s="18">
        <f t="shared" ref="AA35:AB35" si="148">SUM(AA31:AA34)</f>
        <v>427.59999999999997</v>
      </c>
      <c r="AB35" s="18">
        <f t="shared" si="148"/>
        <v>138</v>
      </c>
      <c r="AC35" s="18">
        <f t="shared" ref="AC35:AD35" si="149">SUM(AC31:AC34)</f>
        <v>169.7</v>
      </c>
      <c r="AD35" s="18">
        <f t="shared" si="149"/>
        <v>209.3</v>
      </c>
      <c r="AE35" s="18">
        <f t="shared" ref="AE35:AF35" si="150">SUM(AE31:AE34)</f>
        <v>266.20000000000005</v>
      </c>
      <c r="AF35" s="18">
        <f t="shared" si="150"/>
        <v>783.2</v>
      </c>
      <c r="AG35" s="18">
        <f t="shared" ref="AG35:AH35" si="151">SUM(AG31:AG34)</f>
        <v>143.89999999999998</v>
      </c>
      <c r="AH35" s="18">
        <f t="shared" si="151"/>
        <v>216.10000000000002</v>
      </c>
      <c r="AI35" s="18">
        <f t="shared" ref="AI35:AJ35" si="152">SUM(AI31:AI34)</f>
        <v>194.4</v>
      </c>
      <c r="AJ35" s="18">
        <f t="shared" si="152"/>
        <v>215.70000000000002</v>
      </c>
      <c r="AK35" s="18">
        <f t="shared" ref="AK35:AL35" si="153">SUM(AK31:AK34)</f>
        <v>770.1</v>
      </c>
      <c r="AL35" s="18">
        <f t="shared" si="153"/>
        <v>120.69999999999999</v>
      </c>
      <c r="AM35" s="18">
        <f t="shared" ref="AM35:AN35" si="154">SUM(AM31:AM34)</f>
        <v>122.8</v>
      </c>
      <c r="AN35" s="18">
        <f t="shared" si="154"/>
        <v>110.7</v>
      </c>
      <c r="AO35" s="18">
        <f t="shared" ref="AO35:AQ35" si="155">SUM(AO31:AO34)</f>
        <v>141.6</v>
      </c>
      <c r="AP35" s="18">
        <f t="shared" si="155"/>
        <v>495.80000000000007</v>
      </c>
      <c r="AQ35" s="18">
        <f t="shared" si="155"/>
        <v>85.6</v>
      </c>
      <c r="AR35" s="19">
        <f t="shared" ref="AR35" si="156">SUM(AR31:AR34)</f>
        <v>164.1</v>
      </c>
    </row>
    <row r="36" spans="1:44" ht="13.5" customHeight="1" x14ac:dyDescent="0.25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1:44" ht="13.5" customHeight="1" x14ac:dyDescent="0.25">
      <c r="A37" s="93"/>
      <c r="B37" s="94" t="s">
        <v>0</v>
      </c>
      <c r="C37" s="94" t="s">
        <v>1</v>
      </c>
      <c r="D37" s="94" t="s">
        <v>2</v>
      </c>
      <c r="E37" s="94" t="s">
        <v>3</v>
      </c>
      <c r="F37" s="94" t="s">
        <v>4</v>
      </c>
      <c r="G37" s="94" t="s">
        <v>110</v>
      </c>
      <c r="H37" s="94" t="s">
        <v>111</v>
      </c>
      <c r="I37" s="94" t="s">
        <v>112</v>
      </c>
      <c r="J37" s="94" t="s">
        <v>113</v>
      </c>
      <c r="K37" s="94" t="s">
        <v>114</v>
      </c>
      <c r="L37" s="94" t="s">
        <v>115</v>
      </c>
      <c r="M37" s="94" t="s">
        <v>116</v>
      </c>
      <c r="N37" s="94" t="s">
        <v>117</v>
      </c>
      <c r="O37" s="94" t="s">
        <v>118</v>
      </c>
      <c r="P37" s="94" t="s">
        <v>119</v>
      </c>
      <c r="Q37" s="94" t="s">
        <v>120</v>
      </c>
      <c r="R37" s="94" t="s">
        <v>121</v>
      </c>
      <c r="S37" s="94" t="s">
        <v>122</v>
      </c>
      <c r="T37" s="94" t="s">
        <v>123</v>
      </c>
      <c r="U37" s="94" t="s">
        <v>124</v>
      </c>
      <c r="V37" s="94" t="s">
        <v>24</v>
      </c>
      <c r="W37" s="94" t="s">
        <v>25</v>
      </c>
      <c r="X37" s="94" t="str">
        <f t="shared" ref="X37:AC37" si="157">+X2</f>
        <v>Q2 2021</v>
      </c>
      <c r="Y37" s="94" t="str">
        <f t="shared" si="157"/>
        <v>Q3 2021</v>
      </c>
      <c r="Z37" s="94" t="str">
        <f t="shared" si="157"/>
        <v>Q4 2021</v>
      </c>
      <c r="AA37" s="94" t="str">
        <f t="shared" si="157"/>
        <v>FY 2021</v>
      </c>
      <c r="AB37" s="94" t="str">
        <f t="shared" si="157"/>
        <v>Q1 2022</v>
      </c>
      <c r="AC37" s="94" t="str">
        <f t="shared" si="157"/>
        <v>Q2 2022</v>
      </c>
      <c r="AD37" s="94" t="str">
        <f t="shared" ref="AD37:AE37" si="158">+AD2</f>
        <v>Q3 2022</v>
      </c>
      <c r="AE37" s="94" t="str">
        <f t="shared" si="158"/>
        <v>Q4 2022</v>
      </c>
      <c r="AF37" s="94" t="str">
        <f t="shared" ref="AF37:AG37" si="159">+AF2</f>
        <v>FY 2022</v>
      </c>
      <c r="AG37" s="94" t="str">
        <f t="shared" si="159"/>
        <v>Q1 2023</v>
      </c>
      <c r="AH37" s="94" t="str">
        <f t="shared" ref="AH37:AI37" si="160">+AH2</f>
        <v>Q2 2023</v>
      </c>
      <c r="AI37" s="94" t="str">
        <f t="shared" si="160"/>
        <v>Q3 2023</v>
      </c>
      <c r="AJ37" s="94" t="str">
        <f t="shared" ref="AJ37:AK37" si="161">+AJ2</f>
        <v>Q4 2023</v>
      </c>
      <c r="AK37" s="94" t="str">
        <f t="shared" si="161"/>
        <v>FY 2023</v>
      </c>
      <c r="AL37" s="94" t="str">
        <f t="shared" ref="AL37:AM37" si="162">+AL2</f>
        <v>Q1 2024</v>
      </c>
      <c r="AM37" s="94" t="str">
        <f t="shared" si="162"/>
        <v>Q2 2024</v>
      </c>
      <c r="AN37" s="94" t="str">
        <f t="shared" ref="AN37:AO37" si="163">+AN2</f>
        <v>Q3 2024</v>
      </c>
      <c r="AO37" s="94" t="str">
        <f t="shared" si="163"/>
        <v>Q4 2024</v>
      </c>
      <c r="AP37" s="94" t="str">
        <f t="shared" ref="AP37:AQ37" si="164">+AP2</f>
        <v>FY 2024</v>
      </c>
      <c r="AQ37" s="94" t="str">
        <f t="shared" si="164"/>
        <v>Q1 2025</v>
      </c>
      <c r="AR37" s="94" t="str">
        <f t="shared" ref="AR37" si="165">+AR2</f>
        <v>Q2 2025</v>
      </c>
    </row>
    <row r="38" spans="1:44" ht="13.5" customHeight="1" x14ac:dyDescent="0.25">
      <c r="A38" s="11" t="s">
        <v>186</v>
      </c>
      <c r="B38" s="12">
        <v>2846.6</v>
      </c>
      <c r="C38" s="12">
        <v>2901.3</v>
      </c>
      <c r="D38" s="12">
        <v>2958.1</v>
      </c>
      <c r="E38" s="12">
        <v>2757.2</v>
      </c>
      <c r="F38" s="12">
        <f>+E38</f>
        <v>2757.2</v>
      </c>
      <c r="G38" s="12">
        <v>2751.6</v>
      </c>
      <c r="H38" s="12">
        <v>2726.8</v>
      </c>
      <c r="I38" s="12">
        <v>2840.2</v>
      </c>
      <c r="J38" s="12">
        <v>2913.1</v>
      </c>
      <c r="K38" s="12">
        <v>2913.1</v>
      </c>
      <c r="L38" s="12">
        <v>2887.4</v>
      </c>
      <c r="M38" s="12">
        <v>2877.5</v>
      </c>
      <c r="N38" s="12">
        <v>2820.3</v>
      </c>
      <c r="O38" s="12">
        <v>2743.7</v>
      </c>
      <c r="P38" s="12">
        <v>2743.7</v>
      </c>
      <c r="Q38" s="12">
        <v>2680.7</v>
      </c>
      <c r="R38" s="12">
        <v>2604.5</v>
      </c>
      <c r="S38" s="12">
        <v>2554.6</v>
      </c>
      <c r="T38" s="12">
        <v>2494.4</v>
      </c>
      <c r="U38" s="12">
        <v>2494.4</v>
      </c>
      <c r="V38" s="12">
        <f>231.6+1910.8</f>
        <v>2142.4</v>
      </c>
      <c r="W38" s="12">
        <f>2075.9+0.1</f>
        <v>2076</v>
      </c>
      <c r="X38" s="12">
        <v>2064</v>
      </c>
      <c r="Y38" s="12">
        <v>2058.3000000000002</v>
      </c>
      <c r="Z38" s="12">
        <v>2050.8000000000002</v>
      </c>
      <c r="AA38" s="12">
        <f>+Z38</f>
        <v>2050.8000000000002</v>
      </c>
      <c r="AB38" s="12">
        <f>1934.6+253.4</f>
        <v>2188</v>
      </c>
      <c r="AC38" s="12">
        <v>2399.1999999999998</v>
      </c>
      <c r="AD38" s="12">
        <v>2558.1</v>
      </c>
      <c r="AE38" s="12">
        <v>2761.7</v>
      </c>
      <c r="AF38" s="12">
        <f>AE38</f>
        <v>2761.7</v>
      </c>
      <c r="AG38" s="12">
        <v>2737.9</v>
      </c>
      <c r="AH38" s="12">
        <v>2900.5</v>
      </c>
      <c r="AI38" s="12">
        <v>3095.8</v>
      </c>
      <c r="AJ38" s="12">
        <v>3235.7</v>
      </c>
      <c r="AK38" s="12">
        <v>3235.7</v>
      </c>
      <c r="AL38" s="12">
        <v>3124.2</v>
      </c>
      <c r="AM38" s="12">
        <v>3211.3</v>
      </c>
      <c r="AN38" s="12">
        <v>3243.7</v>
      </c>
      <c r="AO38" s="12">
        <v>3366</v>
      </c>
      <c r="AP38" s="12">
        <f>AO38</f>
        <v>3366</v>
      </c>
      <c r="AQ38" s="12">
        <v>3286.2</v>
      </c>
      <c r="AR38" s="13">
        <v>3414.6</v>
      </c>
    </row>
    <row r="39" spans="1:44" ht="13.5" hidden="1" customHeight="1" x14ac:dyDescent="0.25">
      <c r="A39" s="14" t="s">
        <v>187</v>
      </c>
      <c r="B39" s="68">
        <v>0</v>
      </c>
      <c r="C39" s="68">
        <v>0</v>
      </c>
      <c r="D39" s="68">
        <v>0</v>
      </c>
      <c r="E39" s="45">
        <v>0</v>
      </c>
      <c r="F39" s="45">
        <f t="shared" ref="F39:F42" si="166">+E39</f>
        <v>0</v>
      </c>
      <c r="G39" s="12">
        <v>0.9</v>
      </c>
      <c r="H39" s="12">
        <v>53.6</v>
      </c>
      <c r="I39" s="12">
        <v>58.2</v>
      </c>
      <c r="J39" s="12">
        <v>67.2</v>
      </c>
      <c r="K39" s="12">
        <v>67.2</v>
      </c>
      <c r="L39" s="12">
        <v>113.6</v>
      </c>
      <c r="M39" s="12">
        <v>163.30000000000001</v>
      </c>
      <c r="N39" s="16">
        <v>253.3</v>
      </c>
      <c r="O39" s="16">
        <v>227.3</v>
      </c>
      <c r="P39" s="16">
        <v>227.3</v>
      </c>
      <c r="Q39" s="12">
        <v>375.2</v>
      </c>
      <c r="R39" s="12">
        <v>400.8</v>
      </c>
      <c r="S39" s="12">
        <v>455.1</v>
      </c>
      <c r="T39" s="12">
        <v>547.4</v>
      </c>
      <c r="U39" s="12">
        <v>547.4</v>
      </c>
      <c r="V39" s="26">
        <v>0</v>
      </c>
      <c r="W39" s="26">
        <v>0</v>
      </c>
      <c r="X39" s="26">
        <v>0</v>
      </c>
      <c r="Y39" s="26">
        <v>0</v>
      </c>
      <c r="Z39" s="26">
        <v>0</v>
      </c>
      <c r="AA39" s="26">
        <f t="shared" ref="AA39:AA42" si="167">+Z39</f>
        <v>0</v>
      </c>
      <c r="AB39" s="26">
        <v>0</v>
      </c>
      <c r="AC39" s="26">
        <v>0</v>
      </c>
      <c r="AD39" s="26">
        <v>0</v>
      </c>
      <c r="AE39" s="26">
        <v>0</v>
      </c>
      <c r="AF39" s="68">
        <f t="shared" ref="AF39:AF42" si="168">AE39</f>
        <v>0</v>
      </c>
      <c r="AG39" s="68">
        <v>0</v>
      </c>
      <c r="AH39" s="68">
        <v>0</v>
      </c>
      <c r="AI39" s="68">
        <v>0</v>
      </c>
      <c r="AJ39" s="68">
        <v>0</v>
      </c>
      <c r="AK39" s="68">
        <v>0</v>
      </c>
      <c r="AL39" s="68"/>
      <c r="AM39" s="68"/>
      <c r="AN39" s="68"/>
      <c r="AO39" s="68"/>
      <c r="AP39" s="68"/>
      <c r="AQ39" s="68"/>
      <c r="AR39" s="78"/>
    </row>
    <row r="40" spans="1:44" ht="13.5" customHeight="1" x14ac:dyDescent="0.25">
      <c r="A40" s="14" t="s">
        <v>188</v>
      </c>
      <c r="B40" s="45">
        <v>0</v>
      </c>
      <c r="C40" s="45">
        <v>0</v>
      </c>
      <c r="D40" s="45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5">
        <v>0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R40" s="45">
        <v>0</v>
      </c>
      <c r="S40" s="45">
        <v>0</v>
      </c>
      <c r="T40" s="45">
        <v>0</v>
      </c>
      <c r="U40" s="45">
        <v>0</v>
      </c>
      <c r="V40" s="45">
        <v>0</v>
      </c>
      <c r="W40" s="45">
        <v>105.8</v>
      </c>
      <c r="X40" s="45">
        <f>121.3-1.6</f>
        <v>119.7</v>
      </c>
      <c r="Y40" s="113">
        <f>121.9-6.6</f>
        <v>115.30000000000001</v>
      </c>
      <c r="Z40" s="113">
        <v>114.8</v>
      </c>
      <c r="AA40" s="12">
        <f t="shared" si="167"/>
        <v>114.8</v>
      </c>
      <c r="AB40" s="12">
        <v>109.1</v>
      </c>
      <c r="AC40" s="12">
        <v>114.6</v>
      </c>
      <c r="AD40" s="12">
        <v>107.5</v>
      </c>
      <c r="AE40" s="113">
        <v>116.8</v>
      </c>
      <c r="AF40" s="12">
        <f t="shared" si="168"/>
        <v>116.8</v>
      </c>
      <c r="AG40" s="12">
        <v>116.6</v>
      </c>
      <c r="AH40" s="113">
        <v>117.1</v>
      </c>
      <c r="AI40" s="113">
        <v>90.9</v>
      </c>
      <c r="AJ40" s="113">
        <v>120.1</v>
      </c>
      <c r="AK40" s="113">
        <v>120.1</v>
      </c>
      <c r="AL40" s="113">
        <v>118</v>
      </c>
      <c r="AM40" s="113">
        <v>117.5</v>
      </c>
      <c r="AN40" s="113">
        <v>119.7</v>
      </c>
      <c r="AO40" s="113">
        <f>27.6+83.9</f>
        <v>111.5</v>
      </c>
      <c r="AP40" s="113">
        <v>111.5</v>
      </c>
      <c r="AQ40" s="113">
        <v>115.7</v>
      </c>
      <c r="AR40" s="112">
        <v>125.4</v>
      </c>
    </row>
    <row r="41" spans="1:44" ht="13.5" customHeight="1" x14ac:dyDescent="0.25">
      <c r="A41" s="14" t="s">
        <v>195</v>
      </c>
      <c r="B41" s="12">
        <v>17.3</v>
      </c>
      <c r="C41" s="12">
        <v>15.9</v>
      </c>
      <c r="D41" s="12">
        <v>18.600000000000001</v>
      </c>
      <c r="E41" s="12">
        <v>14.1</v>
      </c>
      <c r="F41" s="12">
        <f t="shared" si="166"/>
        <v>14.1</v>
      </c>
      <c r="G41" s="12">
        <v>13.5</v>
      </c>
      <c r="H41" s="12">
        <v>13.1</v>
      </c>
      <c r="I41" s="12">
        <v>12.8</v>
      </c>
      <c r="J41" s="12">
        <v>18.7</v>
      </c>
      <c r="K41" s="12">
        <v>18.7</v>
      </c>
      <c r="L41" s="12">
        <v>17.899999999999999</v>
      </c>
      <c r="M41" s="12">
        <v>17.8</v>
      </c>
      <c r="N41" s="16">
        <v>17.899999999999999</v>
      </c>
      <c r="O41" s="16">
        <v>19.600000000000001</v>
      </c>
      <c r="P41" s="16">
        <v>19.600000000000001</v>
      </c>
      <c r="Q41" s="12">
        <v>43.4</v>
      </c>
      <c r="R41" s="12">
        <v>44.8</v>
      </c>
      <c r="S41" s="12">
        <v>39.700000000000003</v>
      </c>
      <c r="T41" s="12">
        <v>43.8</v>
      </c>
      <c r="U41" s="12">
        <v>43.8</v>
      </c>
      <c r="V41" s="12">
        <v>43.2</v>
      </c>
      <c r="W41" s="12">
        <v>89.9</v>
      </c>
      <c r="X41" s="12">
        <v>88</v>
      </c>
      <c r="Y41" s="12">
        <f>86.9+6.6</f>
        <v>93.5</v>
      </c>
      <c r="Z41" s="12">
        <v>88</v>
      </c>
      <c r="AA41" s="12">
        <f t="shared" si="167"/>
        <v>88</v>
      </c>
      <c r="AB41" s="12">
        <v>85.3</v>
      </c>
      <c r="AC41" s="12">
        <v>83.6</v>
      </c>
      <c r="AD41" s="12">
        <v>88.8</v>
      </c>
      <c r="AE41" s="12">
        <v>86</v>
      </c>
      <c r="AF41" s="12">
        <f t="shared" si="168"/>
        <v>86</v>
      </c>
      <c r="AG41" s="12">
        <v>84.4</v>
      </c>
      <c r="AH41" s="12">
        <v>82</v>
      </c>
      <c r="AI41" s="12">
        <v>79.900000000000006</v>
      </c>
      <c r="AJ41" s="12">
        <v>78.5</v>
      </c>
      <c r="AK41" s="12">
        <v>78.5</v>
      </c>
      <c r="AL41" s="12">
        <v>90.4</v>
      </c>
      <c r="AM41" s="12">
        <v>88.3</v>
      </c>
      <c r="AN41" s="12">
        <v>86.8</v>
      </c>
      <c r="AO41" s="12">
        <v>88.7</v>
      </c>
      <c r="AP41" s="12">
        <v>88.7</v>
      </c>
      <c r="AQ41" s="12">
        <v>86.8</v>
      </c>
      <c r="AR41" s="13">
        <v>86.2</v>
      </c>
    </row>
    <row r="42" spans="1:44" ht="13.5" hidden="1" customHeight="1" x14ac:dyDescent="0.25">
      <c r="A42" s="14" t="s">
        <v>189</v>
      </c>
      <c r="B42" s="68">
        <v>0</v>
      </c>
      <c r="C42" s="68">
        <v>0</v>
      </c>
      <c r="D42" s="68">
        <v>0</v>
      </c>
      <c r="E42" s="45">
        <v>0</v>
      </c>
      <c r="F42" s="45">
        <f t="shared" si="166"/>
        <v>0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12">
        <v>-30.599999999999998</v>
      </c>
      <c r="N42" s="12">
        <v>-36.700000000000003</v>
      </c>
      <c r="O42" s="12">
        <v>-38.9</v>
      </c>
      <c r="P42" s="12">
        <v>-38.9</v>
      </c>
      <c r="Q42" s="12">
        <v>-193.5</v>
      </c>
      <c r="R42" s="12">
        <v>-212.9</v>
      </c>
      <c r="S42" s="12">
        <v>-224.5</v>
      </c>
      <c r="T42" s="12">
        <v>-288.10000000000002</v>
      </c>
      <c r="U42" s="12">
        <v>-288.10000000000002</v>
      </c>
      <c r="V42" s="26">
        <v>0</v>
      </c>
      <c r="W42" s="26">
        <v>0</v>
      </c>
      <c r="X42" s="26">
        <v>0</v>
      </c>
      <c r="Y42" s="26">
        <v>0</v>
      </c>
      <c r="Z42" s="26">
        <v>0</v>
      </c>
      <c r="AA42" s="26">
        <f t="shared" si="167"/>
        <v>0</v>
      </c>
      <c r="AB42" s="26">
        <v>0</v>
      </c>
      <c r="AC42" s="26">
        <v>0</v>
      </c>
      <c r="AD42" s="26">
        <v>0</v>
      </c>
      <c r="AE42" s="26">
        <v>0</v>
      </c>
      <c r="AF42" s="68">
        <f t="shared" si="168"/>
        <v>0</v>
      </c>
      <c r="AG42" s="68">
        <v>0</v>
      </c>
      <c r="AH42" s="68">
        <v>0</v>
      </c>
      <c r="AI42" s="68">
        <v>0</v>
      </c>
      <c r="AJ42" s="68">
        <v>0</v>
      </c>
      <c r="AK42" s="68">
        <v>0</v>
      </c>
      <c r="AL42" s="68">
        <v>0</v>
      </c>
      <c r="AM42" s="68">
        <v>0</v>
      </c>
      <c r="AN42" s="68">
        <v>0</v>
      </c>
      <c r="AO42" s="68">
        <v>0</v>
      </c>
      <c r="AP42" s="68">
        <v>0</v>
      </c>
      <c r="AQ42" s="68">
        <v>0</v>
      </c>
      <c r="AR42" s="78">
        <v>0</v>
      </c>
    </row>
    <row r="43" spans="1:44" ht="13.5" customHeight="1" x14ac:dyDescent="0.25">
      <c r="A43" s="17" t="s">
        <v>196</v>
      </c>
      <c r="B43" s="18">
        <f t="shared" ref="B43:P43" si="169">SUM(B38:B42)</f>
        <v>2863.9</v>
      </c>
      <c r="C43" s="18">
        <f t="shared" ref="C43:E43" si="170">SUM(C38:C42)</f>
        <v>2917.2000000000003</v>
      </c>
      <c r="D43" s="18">
        <f t="shared" si="170"/>
        <v>2976.7</v>
      </c>
      <c r="E43" s="18">
        <f t="shared" si="170"/>
        <v>2771.2999999999997</v>
      </c>
      <c r="F43" s="18">
        <f t="shared" ref="F43:M43" si="171">SUM(F38:F42)</f>
        <v>2771.2999999999997</v>
      </c>
      <c r="G43" s="18">
        <f t="shared" ref="G43:I43" si="172">SUM(G38:G42)</f>
        <v>2766</v>
      </c>
      <c r="H43" s="18">
        <f t="shared" si="172"/>
        <v>2793.5</v>
      </c>
      <c r="I43" s="18">
        <f t="shared" si="172"/>
        <v>2911.2</v>
      </c>
      <c r="J43" s="18">
        <f t="shared" ref="J43:L43" si="173">SUM(J38:J42)</f>
        <v>2998.9999999999995</v>
      </c>
      <c r="K43" s="18">
        <f t="shared" si="173"/>
        <v>2998.9999999999995</v>
      </c>
      <c r="L43" s="18">
        <f t="shared" si="173"/>
        <v>3018.9</v>
      </c>
      <c r="M43" s="18">
        <f t="shared" si="171"/>
        <v>3028.0000000000005</v>
      </c>
      <c r="N43" s="18">
        <f t="shared" si="169"/>
        <v>3054.8000000000006</v>
      </c>
      <c r="O43" s="18">
        <f t="shared" si="169"/>
        <v>2951.7</v>
      </c>
      <c r="P43" s="18">
        <f t="shared" si="169"/>
        <v>2951.7</v>
      </c>
      <c r="Q43" s="18">
        <f t="shared" ref="Q43:R43" si="174">SUM(Q38:Q42)</f>
        <v>2905.7999999999997</v>
      </c>
      <c r="R43" s="18">
        <f t="shared" si="174"/>
        <v>2837.2000000000003</v>
      </c>
      <c r="S43" s="18">
        <f t="shared" ref="S43:T43" si="175">SUM(S38:S42)</f>
        <v>2824.8999999999996</v>
      </c>
      <c r="T43" s="18">
        <f t="shared" si="175"/>
        <v>2797.5000000000005</v>
      </c>
      <c r="U43" s="18">
        <f t="shared" ref="U43:V43" si="176">SUM(U38:U42)</f>
        <v>2797.5000000000005</v>
      </c>
      <c r="V43" s="18">
        <f t="shared" si="176"/>
        <v>2185.6</v>
      </c>
      <c r="W43" s="18">
        <f t="shared" ref="W43:X43" si="177">SUM(W38:W42)</f>
        <v>2271.7000000000003</v>
      </c>
      <c r="X43" s="18">
        <f t="shared" si="177"/>
        <v>2271.6999999999998</v>
      </c>
      <c r="Y43" s="18">
        <f t="shared" ref="Y43:Z43" si="178">SUM(Y38:Y42)</f>
        <v>2267.1000000000004</v>
      </c>
      <c r="Z43" s="18">
        <f t="shared" si="178"/>
        <v>2253.6000000000004</v>
      </c>
      <c r="AA43" s="18">
        <f t="shared" ref="AA43:AB43" si="179">SUM(AA38:AA42)</f>
        <v>2253.6000000000004</v>
      </c>
      <c r="AB43" s="18">
        <f t="shared" si="179"/>
        <v>2382.4</v>
      </c>
      <c r="AC43" s="18">
        <f t="shared" ref="AC43:AD43" si="180">SUM(AC38:AC42)</f>
        <v>2597.3999999999996</v>
      </c>
      <c r="AD43" s="18">
        <f t="shared" si="180"/>
        <v>2754.4</v>
      </c>
      <c r="AE43" s="18">
        <f t="shared" ref="AE43:AF43" si="181">SUM(AE38:AE42)</f>
        <v>2964.5</v>
      </c>
      <c r="AF43" s="18">
        <f t="shared" si="181"/>
        <v>2964.5</v>
      </c>
      <c r="AG43" s="18">
        <f t="shared" ref="AG43:AH43" si="182">SUM(AG38:AG42)</f>
        <v>2938.9</v>
      </c>
      <c r="AH43" s="18">
        <f t="shared" si="182"/>
        <v>3099.6</v>
      </c>
      <c r="AI43" s="18">
        <f t="shared" ref="AI43:AJ43" si="183">SUM(AI38:AI42)</f>
        <v>3266.6000000000004</v>
      </c>
      <c r="AJ43" s="18">
        <f t="shared" si="183"/>
        <v>3434.2999999999997</v>
      </c>
      <c r="AK43" s="18">
        <f t="shared" ref="AK43:AL43" si="184">SUM(AK38:AK42)</f>
        <v>3434.2999999999997</v>
      </c>
      <c r="AL43" s="18">
        <f t="shared" si="184"/>
        <v>3332.6</v>
      </c>
      <c r="AM43" s="18">
        <f t="shared" ref="AM43:AN43" si="185">SUM(AM38:AM42)</f>
        <v>3417.1000000000004</v>
      </c>
      <c r="AN43" s="18">
        <f t="shared" si="185"/>
        <v>3450.2</v>
      </c>
      <c r="AO43" s="18">
        <f t="shared" ref="AO43:AQ43" si="186">SUM(AO38:AO42)</f>
        <v>3566.2</v>
      </c>
      <c r="AP43" s="18">
        <f t="shared" si="186"/>
        <v>3566.2</v>
      </c>
      <c r="AQ43" s="18">
        <f t="shared" si="186"/>
        <v>3488.7</v>
      </c>
      <c r="AR43" s="19">
        <f t="shared" ref="AR43" si="187">SUM(AR38:AR42)</f>
        <v>3626.2</v>
      </c>
    </row>
    <row r="44" spans="1:44" ht="13.5" customHeight="1" x14ac:dyDescent="0.2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44" ht="13.5" customHeight="1" x14ac:dyDescent="0.25">
      <c r="A45" s="14"/>
    </row>
  </sheetData>
  <pageMargins left="0.7" right="0.7" top="0.75" bottom="0.75" header="0.3" footer="0.3"/>
  <pageSetup paperSize="9" scale="71" orientation="landscape" r:id="rId1"/>
  <ignoredErrors>
    <ignoredError sqref="N14:P14 AP27 AP20 AP13 AP6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1571D5402E95469849AFCDCA57C332" ma:contentTypeVersion="11" ma:contentTypeDescription="Create a new document." ma:contentTypeScope="" ma:versionID="45aa681658a030c57cb8658281640d0b">
  <xsd:schema xmlns:xsd="http://www.w3.org/2001/XMLSchema" xmlns:xs="http://www.w3.org/2001/XMLSchema" xmlns:p="http://schemas.microsoft.com/office/2006/metadata/properties" xmlns:ns2="efeb8885-8878-4a3d-8810-789535f80fde" xmlns:ns3="71c27b45-13a9-4eae-b7dd-94b7a92ff0e6" targetNamespace="http://schemas.microsoft.com/office/2006/metadata/properties" ma:root="true" ma:fieldsID="58d53575ab8b64053a87fdf9ea46ef67" ns2:_="" ns3:_="">
    <xsd:import namespace="efeb8885-8878-4a3d-8810-789535f80fde"/>
    <xsd:import namespace="71c27b45-13a9-4eae-b7dd-94b7a92ff0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eb8885-8878-4a3d-8810-789535f80f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27b45-13a9-4eae-b7dd-94b7a92ff0e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DC23D1-C1CB-4B37-BA4A-8749FD5611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eb8885-8878-4a3d-8810-789535f80fde"/>
    <ds:schemaRef ds:uri="71c27b45-13a9-4eae-b7dd-94b7a92ff0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A4E74D-DEF2-4350-8675-8369F8D100C4}">
  <ds:schemaRefs>
    <ds:schemaRef ds:uri="http://purl.org/dc/elements/1.1/"/>
    <ds:schemaRef ds:uri="efeb8885-8878-4a3d-8810-789535f80fde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71c27b45-13a9-4eae-b7dd-94b7a92ff0e6"/>
    <ds:schemaRef ds:uri="http://www.w3.org/XML/1998/namespac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0DDC3EC-6A3D-42F1-BFD7-F066B2E6CA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Income statement</vt:lpstr>
      <vt:lpstr>OCI</vt:lpstr>
      <vt:lpstr>Balance sheet</vt:lpstr>
      <vt:lpstr>Cashflow</vt:lpstr>
      <vt:lpstr>Key figures</vt:lpstr>
      <vt:lpstr>Regions</vt:lpstr>
      <vt:lpstr>Segments</vt:lpstr>
      <vt:lpstr>Cashflow!Print_Area</vt:lpstr>
      <vt:lpstr>'Key figures'!Print_Area</vt:lpstr>
      <vt:lpstr>OCI!Print_Area</vt:lpstr>
      <vt:lpstr>Regions!Print_Area</vt:lpstr>
    </vt:vector>
  </TitlesOfParts>
  <Manager/>
  <Company>BW Offshore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Ole Kristian Bø-Alnes</dc:creator>
  <cp:keywords/>
  <dc:description/>
  <cp:lastModifiedBy>Ross Richardson</cp:lastModifiedBy>
  <cp:revision/>
  <dcterms:created xsi:type="dcterms:W3CDTF">2012-05-08T13:41:05Z</dcterms:created>
  <dcterms:modified xsi:type="dcterms:W3CDTF">2025-08-19T12:15:51Z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0x010100431571D5402E95469849AFCDCA57C332</vt:lpwstr>
  </property>
</Properties>
</file>