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fileSharing readOnlyRecommended="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.sharepoint.com/sites/fincorprep/Audit Committee Meeting/Audit committee/2021/Q3 2021/"/>
    </mc:Choice>
  </mc:AlternateContent>
  <xr:revisionPtr revIDLastSave="17" documentId="8_{0C222BD0-7760-47BC-931F-508CD131194A}" xr6:coauthVersionLast="46" xr6:coauthVersionMax="46" xr10:uidLastSave="{94B1C894-66D9-4B26-80A0-1A0ACD3797BF}"/>
  <bookViews>
    <workbookView xWindow="-120" yWindow="-120" windowWidth="29040" windowHeight="17640" tabRatio="939" xr2:uid="{00000000-000D-0000-FFFF-FFFF00000000}"/>
  </bookViews>
  <sheets>
    <sheet name="Income statement" sheetId="9" r:id="rId1"/>
    <sheet name="Balance sheet" sheetId="8" r:id="rId2"/>
    <sheet name="Cashflow" sheetId="7" r:id="rId3"/>
    <sheet name="Key figures" sheetId="1" r:id="rId4"/>
    <sheet name="Regions" sheetId="51" r:id="rId5"/>
    <sheet name="Segments" sheetId="50" r:id="rId6"/>
  </sheets>
  <definedNames>
    <definedName name="_xlnm.Print_Area" localSheetId="2">Cashflow!$A$2:$P$40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0" i="7" l="1"/>
  <c r="AC19" i="7"/>
  <c r="Y40" i="50"/>
  <c r="Y41" i="50"/>
  <c r="X7" i="8"/>
  <c r="X5" i="8"/>
  <c r="AC41" i="7"/>
  <c r="AC43" i="7" s="1"/>
  <c r="AC31" i="7"/>
  <c r="AC32" i="7" s="1"/>
  <c r="AB43" i="7"/>
  <c r="Y43" i="7"/>
  <c r="X43" i="7"/>
  <c r="W43" i="7"/>
  <c r="V43" i="7"/>
  <c r="U43" i="7"/>
  <c r="T43" i="7"/>
  <c r="P43" i="7"/>
  <c r="O43" i="7"/>
  <c r="N43" i="7"/>
  <c r="M43" i="7"/>
  <c r="L43" i="7"/>
  <c r="K43" i="7"/>
  <c r="J43" i="7"/>
  <c r="I43" i="7"/>
  <c r="H43" i="7"/>
  <c r="G43" i="7"/>
  <c r="E43" i="7"/>
  <c r="D43" i="7"/>
  <c r="C43" i="7"/>
  <c r="B43" i="7"/>
  <c r="Z42" i="7"/>
  <c r="F42" i="7"/>
  <c r="Z41" i="7"/>
  <c r="F41" i="7"/>
  <c r="Z40" i="7"/>
  <c r="F40" i="7"/>
  <c r="AA39" i="7"/>
  <c r="AA43" i="7" s="1"/>
  <c r="Z39" i="7"/>
  <c r="F39" i="7"/>
  <c r="Z38" i="7"/>
  <c r="S38" i="7"/>
  <c r="S43" i="7" s="1"/>
  <c r="R38" i="7"/>
  <c r="R43" i="7" s="1"/>
  <c r="F38" i="7"/>
  <c r="Z37" i="7"/>
  <c r="F37" i="7"/>
  <c r="Z36" i="7"/>
  <c r="Q36" i="7"/>
  <c r="Q43" i="7" s="1"/>
  <c r="F36" i="7"/>
  <c r="Z35" i="7"/>
  <c r="F35" i="7"/>
  <c r="Z34" i="7"/>
  <c r="F34" i="7"/>
  <c r="AB32" i="7"/>
  <c r="Y32" i="7"/>
  <c r="X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D32" i="7"/>
  <c r="C32" i="7"/>
  <c r="B32" i="7"/>
  <c r="W31" i="7"/>
  <c r="Z31" i="7" s="1"/>
  <c r="E31" i="7"/>
  <c r="E32" i="7" s="1"/>
  <c r="AA30" i="7"/>
  <c r="Z30" i="7"/>
  <c r="F30" i="7"/>
  <c r="V29" i="7"/>
  <c r="Z29" i="7" s="1"/>
  <c r="F29" i="7"/>
  <c r="Z28" i="7"/>
  <c r="F28" i="7"/>
  <c r="Z27" i="7"/>
  <c r="F27" i="7"/>
  <c r="AA26" i="7"/>
  <c r="AA32" i="7" s="1"/>
  <c r="Z26" i="7"/>
  <c r="F26" i="7"/>
  <c r="P24" i="7"/>
  <c r="O24" i="7"/>
  <c r="N24" i="7"/>
  <c r="M24" i="7"/>
  <c r="L24" i="7"/>
  <c r="K24" i="7"/>
  <c r="J24" i="7"/>
  <c r="I24" i="7"/>
  <c r="H24" i="7"/>
  <c r="V23" i="7"/>
  <c r="Z23" i="7" s="1"/>
  <c r="F23" i="7"/>
  <c r="Z22" i="7"/>
  <c r="E22" i="7"/>
  <c r="F22" i="7" s="1"/>
  <c r="AC21" i="7"/>
  <c r="AC24" i="7" s="1"/>
  <c r="AB19" i="7"/>
  <c r="AA19" i="7"/>
  <c r="Y19" i="7"/>
  <c r="X19" i="7"/>
  <c r="X21" i="7" s="1"/>
  <c r="X24" i="7" s="1"/>
  <c r="W19" i="7"/>
  <c r="V19" i="7"/>
  <c r="U19" i="7"/>
  <c r="U21" i="7" s="1"/>
  <c r="U24" i="7" s="1"/>
  <c r="T19" i="7"/>
  <c r="S19" i="7"/>
  <c r="S21" i="7" s="1"/>
  <c r="S24" i="7" s="1"/>
  <c r="R19" i="7"/>
  <c r="R21" i="7" s="1"/>
  <c r="R24" i="7" s="1"/>
  <c r="Q19" i="7"/>
  <c r="Q21" i="7" s="1"/>
  <c r="Q24" i="7" s="1"/>
  <c r="K19" i="7"/>
  <c r="G19" i="7"/>
  <c r="G24" i="7" s="1"/>
  <c r="B19" i="7"/>
  <c r="Z18" i="7"/>
  <c r="E18" i="7"/>
  <c r="D18" i="7"/>
  <c r="C18" i="7"/>
  <c r="F18" i="7" s="1"/>
  <c r="Z17" i="7"/>
  <c r="W17" i="7"/>
  <c r="E17" i="7"/>
  <c r="F17" i="7" s="1"/>
  <c r="D17" i="7"/>
  <c r="C17" i="7"/>
  <c r="Z16" i="7"/>
  <c r="E16" i="7"/>
  <c r="D16" i="7"/>
  <c r="C16" i="7"/>
  <c r="Z15" i="7"/>
  <c r="F15" i="7"/>
  <c r="AB13" i="7"/>
  <c r="AA13" i="7"/>
  <c r="Z13" i="7"/>
  <c r="T13" i="7"/>
  <c r="F13" i="7"/>
  <c r="Z12" i="7"/>
  <c r="F12" i="7"/>
  <c r="V11" i="7"/>
  <c r="Z11" i="7" s="1"/>
  <c r="F11" i="7"/>
  <c r="Z10" i="7"/>
  <c r="F10" i="7"/>
  <c r="V9" i="7"/>
  <c r="B9" i="7"/>
  <c r="F9" i="7" s="1"/>
  <c r="Z8" i="7"/>
  <c r="E8" i="7"/>
  <c r="D8" i="7"/>
  <c r="F8" i="7" s="1"/>
  <c r="AB7" i="7"/>
  <c r="AA7" i="7"/>
  <c r="Z7" i="7"/>
  <c r="F7" i="7"/>
  <c r="V6" i="7"/>
  <c r="Z6" i="7" s="1"/>
  <c r="AB5" i="7"/>
  <c r="Z5" i="7"/>
  <c r="W3" i="7"/>
  <c r="Z3" i="7" s="1"/>
  <c r="T21" i="7" l="1"/>
  <c r="T24" i="7" s="1"/>
  <c r="W32" i="7"/>
  <c r="H45" i="7"/>
  <c r="H48" i="7" s="1"/>
  <c r="P45" i="7"/>
  <c r="P48" i="7" s="1"/>
  <c r="J45" i="7"/>
  <c r="J48" i="7" s="1"/>
  <c r="I45" i="7"/>
  <c r="I48" i="7" s="1"/>
  <c r="F16" i="7"/>
  <c r="C24" i="7"/>
  <c r="C45" i="7" s="1"/>
  <c r="C48" i="7" s="1"/>
  <c r="D47" i="7" s="1"/>
  <c r="X45" i="7"/>
  <c r="X48" i="7" s="1"/>
  <c r="K45" i="7"/>
  <c r="K48" i="7" s="1"/>
  <c r="L45" i="7"/>
  <c r="L48" i="7" s="1"/>
  <c r="Z19" i="7"/>
  <c r="M45" i="7"/>
  <c r="M48" i="7" s="1"/>
  <c r="AB21" i="7"/>
  <c r="AB24" i="7" s="1"/>
  <c r="AB45" i="7" s="1"/>
  <c r="D19" i="7"/>
  <c r="Z43" i="7"/>
  <c r="N45" i="7"/>
  <c r="N48" i="7" s="1"/>
  <c r="F43" i="7"/>
  <c r="AA21" i="7"/>
  <c r="AA24" i="7" s="1"/>
  <c r="V21" i="7"/>
  <c r="V24" i="7" s="1"/>
  <c r="E19" i="7"/>
  <c r="V32" i="7"/>
  <c r="V45" i="7" s="1"/>
  <c r="V48" i="7" s="1"/>
  <c r="W47" i="7" s="1"/>
  <c r="O45" i="7"/>
  <c r="O48" i="7" s="1"/>
  <c r="D24" i="7"/>
  <c r="D45" i="7" s="1"/>
  <c r="D48" i="7" s="1"/>
  <c r="E47" i="7" s="1"/>
  <c r="E24" i="7"/>
  <c r="E45" i="7" s="1"/>
  <c r="E48" i="7" s="1"/>
  <c r="F24" i="7"/>
  <c r="B24" i="7"/>
  <c r="B45" i="7" s="1"/>
  <c r="B48" i="7" s="1"/>
  <c r="C47" i="7" s="1"/>
  <c r="AA45" i="7"/>
  <c r="AA48" i="7" s="1"/>
  <c r="AB47" i="7" s="1"/>
  <c r="Z32" i="7"/>
  <c r="R45" i="7"/>
  <c r="R48" i="7" s="1"/>
  <c r="G45" i="7"/>
  <c r="G48" i="7" s="1"/>
  <c r="S45" i="7"/>
  <c r="S48" i="7" s="1"/>
  <c r="AC45" i="7"/>
  <c r="T45" i="7"/>
  <c r="T48" i="7" s="1"/>
  <c r="Q45" i="7"/>
  <c r="Q48" i="7" s="1"/>
  <c r="U45" i="7"/>
  <c r="U48" i="7" s="1"/>
  <c r="Z9" i="7"/>
  <c r="Z21" i="7" s="1"/>
  <c r="Z24" i="7" s="1"/>
  <c r="C19" i="7"/>
  <c r="W21" i="7"/>
  <c r="W24" i="7" s="1"/>
  <c r="W45" i="7" s="1"/>
  <c r="F31" i="7"/>
  <c r="F32" i="7" s="1"/>
  <c r="Y21" i="7"/>
  <c r="Y24" i="7" s="1"/>
  <c r="Y45" i="7" s="1"/>
  <c r="Y48" i="7" s="1"/>
  <c r="F45" i="7" l="1"/>
  <c r="F48" i="7" s="1"/>
  <c r="F19" i="7"/>
  <c r="W48" i="7"/>
  <c r="AB48" i="7"/>
  <c r="AC47" i="7" s="1"/>
  <c r="Z45" i="7"/>
  <c r="Z48" i="7" s="1"/>
  <c r="AC48" i="7"/>
  <c r="X4" i="8" l="1"/>
  <c r="AC7" i="1"/>
  <c r="X40" i="8"/>
  <c r="X30" i="8"/>
  <c r="X26" i="8"/>
  <c r="AC15" i="9"/>
  <c r="Y50" i="50"/>
  <c r="Y45" i="50"/>
  <c r="Y43" i="50"/>
  <c r="Y37" i="50"/>
  <c r="Y35" i="50"/>
  <c r="Y30" i="50"/>
  <c r="Y28" i="50"/>
  <c r="Y23" i="50"/>
  <c r="Y21" i="50"/>
  <c r="Y16" i="50"/>
  <c r="Y14" i="50"/>
  <c r="Y9" i="50"/>
  <c r="Y7" i="50"/>
  <c r="AC12" i="51" l="1"/>
  <c r="AC8" i="51"/>
  <c r="AC6" i="51"/>
  <c r="AC12" i="1" l="1"/>
  <c r="X43" i="8"/>
  <c r="X32" i="8"/>
  <c r="X36" i="8" s="1"/>
  <c r="X28" i="8"/>
  <c r="X25" i="8"/>
  <c r="X21" i="8"/>
  <c r="X14" i="8"/>
  <c r="X45" i="8" l="1"/>
  <c r="X47" i="8" s="1"/>
  <c r="X23" i="8"/>
  <c r="AC18" i="9" l="1"/>
  <c r="AC6" i="9"/>
  <c r="X40" i="50"/>
  <c r="AB10" i="51"/>
  <c r="W27" i="8"/>
  <c r="W26" i="8"/>
  <c r="W7" i="8"/>
  <c r="W32" i="8"/>
  <c r="V32" i="8"/>
  <c r="W33" i="8"/>
  <c r="V33" i="8"/>
  <c r="AC12" i="9" l="1"/>
  <c r="X45" i="50"/>
  <c r="X37" i="50"/>
  <c r="X30" i="50"/>
  <c r="X23" i="50"/>
  <c r="X16" i="50"/>
  <c r="X9" i="50"/>
  <c r="X50" i="50"/>
  <c r="X43" i="50"/>
  <c r="X35" i="50"/>
  <c r="X28" i="50"/>
  <c r="X21" i="50"/>
  <c r="X14" i="50"/>
  <c r="X7" i="50"/>
  <c r="AB12" i="51"/>
  <c r="AB8" i="51"/>
  <c r="AB6" i="51"/>
  <c r="AB12" i="1"/>
  <c r="W43" i="8"/>
  <c r="W36" i="8"/>
  <c r="W28" i="8"/>
  <c r="W25" i="8"/>
  <c r="W21" i="8"/>
  <c r="W14" i="8"/>
  <c r="AB18" i="9"/>
  <c r="AB6" i="9"/>
  <c r="AB12" i="9" s="1"/>
  <c r="AC21" i="9" l="1"/>
  <c r="W45" i="8"/>
  <c r="W47" i="8" s="1"/>
  <c r="W23" i="8"/>
  <c r="AB21" i="9"/>
  <c r="AB24" i="9" s="1"/>
  <c r="AB28" i="9" s="1"/>
  <c r="AB30" i="9" s="1"/>
  <c r="AC24" i="9" l="1"/>
  <c r="AC28" i="9" l="1"/>
  <c r="AA17" i="9"/>
  <c r="AA15" i="9"/>
  <c r="AC30" i="9" l="1"/>
  <c r="W38" i="50"/>
  <c r="W50" i="50" l="1"/>
  <c r="W43" i="50"/>
  <c r="W35" i="50"/>
  <c r="W28" i="50"/>
  <c r="W21" i="50"/>
  <c r="W14" i="50"/>
  <c r="W7" i="50"/>
  <c r="V38" i="50"/>
  <c r="V50" i="50"/>
  <c r="V43" i="50"/>
  <c r="V35" i="50"/>
  <c r="V28" i="50"/>
  <c r="V21" i="50"/>
  <c r="V14" i="50"/>
  <c r="V7" i="50"/>
  <c r="AA12" i="51" l="1"/>
  <c r="AA8" i="51"/>
  <c r="AA6" i="51"/>
  <c r="AA12" i="1"/>
  <c r="V43" i="8"/>
  <c r="V36" i="8"/>
  <c r="V28" i="8"/>
  <c r="V25" i="8"/>
  <c r="V21" i="8"/>
  <c r="V14" i="8"/>
  <c r="AA18" i="9"/>
  <c r="AA6" i="9"/>
  <c r="AA12" i="9" s="1"/>
  <c r="V45" i="8" l="1"/>
  <c r="V47" i="8" s="1"/>
  <c r="V23" i="8"/>
  <c r="AA21" i="9"/>
  <c r="AA24" i="9" s="1"/>
  <c r="AA28" i="9" s="1"/>
  <c r="AA30" i="9" s="1"/>
  <c r="V16" i="9"/>
  <c r="V17" i="9"/>
  <c r="V15" i="9" l="1"/>
  <c r="Y5" i="51" l="1"/>
  <c r="U33" i="8"/>
  <c r="U26" i="8"/>
  <c r="U10" i="8"/>
  <c r="Y23" i="9"/>
  <c r="Y4" i="9"/>
  <c r="Z12" i="1" l="1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Z12" i="51" l="1"/>
  <c r="Z8" i="51"/>
  <c r="Y12" i="51"/>
  <c r="Y8" i="51"/>
  <c r="Y6" i="51"/>
  <c r="Y12" i="1"/>
  <c r="U43" i="8"/>
  <c r="U36" i="8"/>
  <c r="U28" i="8"/>
  <c r="U25" i="8"/>
  <c r="U21" i="8"/>
  <c r="U14" i="8"/>
  <c r="Z18" i="9"/>
  <c r="Y18" i="9"/>
  <c r="Y6" i="9"/>
  <c r="Y12" i="9" s="1"/>
  <c r="Y21" i="9" l="1"/>
  <c r="Y24" i="9" s="1"/>
  <c r="Y28" i="9" s="1"/>
  <c r="Y30" i="9" s="1"/>
  <c r="U45" i="8"/>
  <c r="U47" i="8" s="1"/>
  <c r="U23" i="8"/>
  <c r="T27" i="9"/>
  <c r="T8" i="9" l="1"/>
  <c r="M23" i="9" l="1"/>
  <c r="M17" i="9"/>
  <c r="M5" i="9"/>
  <c r="M4" i="9"/>
  <c r="L23" i="9"/>
  <c r="L17" i="9"/>
  <c r="L5" i="9"/>
  <c r="L4" i="9"/>
  <c r="P5" i="9" l="1"/>
  <c r="P4" i="9"/>
  <c r="K17" i="9"/>
  <c r="K5" i="9"/>
  <c r="J5" i="9"/>
  <c r="I5" i="9"/>
  <c r="K4" i="9" l="1"/>
  <c r="J4" i="9"/>
  <c r="I17" i="9"/>
  <c r="I4" i="9"/>
  <c r="H17" i="9"/>
  <c r="H5" i="9"/>
  <c r="H4" i="9"/>
  <c r="G17" i="9"/>
  <c r="G5" i="9"/>
  <c r="G4" i="9"/>
  <c r="B50" i="50"/>
  <c r="C50" i="50"/>
  <c r="D50" i="50"/>
  <c r="E50" i="50"/>
  <c r="F50" i="50"/>
  <c r="G50" i="50"/>
  <c r="H50" i="50"/>
  <c r="I50" i="50"/>
  <c r="J50" i="50"/>
  <c r="K50" i="50"/>
  <c r="L50" i="50"/>
  <c r="M50" i="50"/>
  <c r="N50" i="50"/>
  <c r="O50" i="50"/>
  <c r="P50" i="50"/>
  <c r="O4" i="9" l="1"/>
  <c r="O5" i="9"/>
  <c r="F42" i="50" l="1"/>
  <c r="F41" i="50"/>
  <c r="F39" i="50"/>
  <c r="F38" i="50"/>
  <c r="F11" i="51" l="1"/>
  <c r="F10" i="51"/>
  <c r="F9" i="51"/>
  <c r="F4" i="51" l="1"/>
  <c r="F5" i="51"/>
  <c r="F3" i="51"/>
  <c r="K23" i="9" l="1"/>
  <c r="F27" i="9"/>
  <c r="F23" i="9"/>
  <c r="F20" i="9"/>
  <c r="F17" i="9"/>
  <c r="F16" i="9"/>
  <c r="F15" i="9"/>
  <c r="F14" i="9"/>
  <c r="F11" i="9"/>
  <c r="F10" i="9"/>
  <c r="F9" i="9"/>
  <c r="F8" i="9"/>
  <c r="F5" i="9"/>
  <c r="F4" i="9"/>
  <c r="J23" i="9"/>
  <c r="E12" i="51" l="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D43" i="8"/>
  <c r="C43" i="8"/>
  <c r="B43" i="8"/>
  <c r="D36" i="8"/>
  <c r="C36" i="8"/>
  <c r="B36" i="8"/>
  <c r="D28" i="8"/>
  <c r="C28" i="8"/>
  <c r="B28" i="8"/>
  <c r="D21" i="8"/>
  <c r="C21" i="8"/>
  <c r="B21" i="8"/>
  <c r="D14" i="8"/>
  <c r="C14" i="8"/>
  <c r="B14" i="8"/>
  <c r="B18" i="9"/>
  <c r="B6" i="9"/>
  <c r="B12" i="9" s="1"/>
  <c r="C18" i="9"/>
  <c r="C6" i="9"/>
  <c r="C12" i="9" s="1"/>
  <c r="D18" i="9"/>
  <c r="D6" i="9"/>
  <c r="D12" i="9" s="1"/>
  <c r="D23" i="8" l="1"/>
  <c r="B45" i="8"/>
  <c r="B47" i="8" s="1"/>
  <c r="B23" i="8"/>
  <c r="D45" i="8"/>
  <c r="D47" i="8" s="1"/>
  <c r="C45" i="8"/>
  <c r="C47" i="8" s="1"/>
  <c r="C23" i="8"/>
  <c r="B21" i="9"/>
  <c r="C21" i="9"/>
  <c r="D21" i="9"/>
  <c r="C24" i="9" l="1"/>
  <c r="C28" i="9" s="1"/>
  <c r="C30" i="9" s="1"/>
  <c r="D24" i="9"/>
  <c r="D28" i="9" s="1"/>
  <c r="D30" i="9" s="1"/>
  <c r="B24" i="9"/>
  <c r="B28" i="9" s="1"/>
  <c r="B30" i="9" s="1"/>
  <c r="P34" i="50" l="1"/>
  <c r="P32" i="50"/>
  <c r="P31" i="50"/>
  <c r="P27" i="50"/>
  <c r="P25" i="50"/>
  <c r="P20" i="50"/>
  <c r="P18" i="50"/>
  <c r="P13" i="50"/>
  <c r="P11" i="50"/>
  <c r="P6" i="50"/>
  <c r="P4" i="50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 l="1"/>
  <c r="G43" i="50"/>
  <c r="B43" i="50"/>
  <c r="K43" i="50"/>
  <c r="L43" i="50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 l="1"/>
  <c r="F43" i="50"/>
  <c r="G43" i="8" l="1"/>
  <c r="F43" i="8"/>
  <c r="E43" i="8"/>
  <c r="L38" i="8"/>
  <c r="L43" i="8" s="1"/>
  <c r="K43" i="8"/>
  <c r="J43" i="8"/>
  <c r="I43" i="8"/>
  <c r="H43" i="8"/>
  <c r="G36" i="8"/>
  <c r="F36" i="8"/>
  <c r="E36" i="8"/>
  <c r="L33" i="8"/>
  <c r="L36" i="8" s="1"/>
  <c r="K36" i="8"/>
  <c r="J36" i="8"/>
  <c r="I36" i="8"/>
  <c r="H36" i="8"/>
  <c r="G28" i="8"/>
  <c r="F28" i="8"/>
  <c r="E28" i="8"/>
  <c r="L26" i="8"/>
  <c r="L28" i="8" s="1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K14" i="8"/>
  <c r="J14" i="8"/>
  <c r="I14" i="8"/>
  <c r="H14" i="8"/>
  <c r="G14" i="8"/>
  <c r="F14" i="8"/>
  <c r="E14" i="8"/>
  <c r="F18" i="9"/>
  <c r="E18" i="9"/>
  <c r="F6" i="9"/>
  <c r="F12" i="9" s="1"/>
  <c r="E6" i="9"/>
  <c r="E12" i="9" s="1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 s="1"/>
  <c r="L6" i="9"/>
  <c r="L12" i="9" s="1"/>
  <c r="K6" i="9"/>
  <c r="K12" i="9" s="1"/>
  <c r="J6" i="9"/>
  <c r="J12" i="9" s="1"/>
  <c r="I6" i="9"/>
  <c r="I12" i="9" s="1"/>
  <c r="H6" i="9"/>
  <c r="H12" i="9" s="1"/>
  <c r="G6" i="9"/>
  <c r="G12" i="9" s="1"/>
  <c r="E21" i="9" l="1"/>
  <c r="N6" i="9"/>
  <c r="N12" i="9" s="1"/>
  <c r="N21" i="9" s="1"/>
  <c r="N24" i="9" s="1"/>
  <c r="N28" i="9" s="1"/>
  <c r="N30" i="9" s="1"/>
  <c r="G21" i="9"/>
  <c r="G24" i="9" s="1"/>
  <c r="K21" i="9"/>
  <c r="K24" i="9" s="1"/>
  <c r="K28" i="9" s="1"/>
  <c r="K30" i="9" s="1"/>
  <c r="H21" i="9"/>
  <c r="H24" i="9" s="1"/>
  <c r="H28" i="9" s="1"/>
  <c r="H30" i="9" s="1"/>
  <c r="H23" i="8"/>
  <c r="L45" i="8"/>
  <c r="L47" i="8" s="1"/>
  <c r="F21" i="9"/>
  <c r="N18" i="9"/>
  <c r="J21" i="9"/>
  <c r="J24" i="9" s="1"/>
  <c r="J28" i="9" s="1"/>
  <c r="J30" i="9" s="1"/>
  <c r="K45" i="8"/>
  <c r="K47" i="8"/>
  <c r="K23" i="8"/>
  <c r="L21" i="9"/>
  <c r="L24" i="9" s="1"/>
  <c r="L28" i="9" s="1"/>
  <c r="L30" i="9" s="1"/>
  <c r="E45" i="8"/>
  <c r="E47" i="8" s="1"/>
  <c r="L14" i="8"/>
  <c r="L23" i="8" s="1"/>
  <c r="F45" i="8"/>
  <c r="F47" i="8" s="1"/>
  <c r="H45" i="8"/>
  <c r="H47" i="8" s="1"/>
  <c r="G45" i="8"/>
  <c r="G47" i="8" s="1"/>
  <c r="G23" i="8"/>
  <c r="J45" i="8"/>
  <c r="J47" i="8" s="1"/>
  <c r="I23" i="8"/>
  <c r="J23" i="8"/>
  <c r="E23" i="8"/>
  <c r="F23" i="8"/>
  <c r="I45" i="8"/>
  <c r="I47" i="8" s="1"/>
  <c r="M21" i="9"/>
  <c r="M24" i="9" s="1"/>
  <c r="M28" i="9" s="1"/>
  <c r="M30" i="9" s="1"/>
  <c r="I21" i="9"/>
  <c r="I24" i="9" s="1"/>
  <c r="I28" i="9" s="1"/>
  <c r="I30" i="9" s="1"/>
  <c r="W12" i="1"/>
  <c r="X12" i="1" s="1"/>
  <c r="G28" i="9" l="1"/>
  <c r="G30" i="9" s="1"/>
  <c r="F24" i="9"/>
  <c r="F28" i="9" s="1"/>
  <c r="F30" i="9" s="1"/>
  <c r="E24" i="9"/>
  <c r="E28" i="9" s="1"/>
  <c r="E30" i="9" s="1"/>
  <c r="X12" i="51" l="1"/>
  <c r="X8" i="51"/>
  <c r="X6" i="51"/>
  <c r="T43" i="8" l="1"/>
  <c r="T36" i="8"/>
  <c r="T28" i="8"/>
  <c r="T25" i="8"/>
  <c r="T21" i="8"/>
  <c r="T14" i="8"/>
  <c r="X18" i="9"/>
  <c r="X6" i="9"/>
  <c r="X12" i="9" s="1"/>
  <c r="X21" i="9" l="1"/>
  <c r="X24" i="9" s="1"/>
  <c r="X28" i="9" s="1"/>
  <c r="X30" i="9" s="1"/>
  <c r="T45" i="8"/>
  <c r="T47" i="8" s="1"/>
  <c r="T23" i="8"/>
  <c r="W4" i="51"/>
  <c r="Z4" i="51" s="1"/>
  <c r="Z6" i="51" s="1"/>
  <c r="S26" i="8"/>
  <c r="S17" i="8"/>
  <c r="W4" i="9"/>
  <c r="W12" i="51" l="1"/>
  <c r="W8" i="51"/>
  <c r="W6" i="51"/>
  <c r="S43" i="8" l="1"/>
  <c r="S36" i="8"/>
  <c r="S28" i="8"/>
  <c r="S25" i="8"/>
  <c r="S21" i="8"/>
  <c r="S14" i="8"/>
  <c r="W18" i="9"/>
  <c r="W6" i="9"/>
  <c r="W12" i="9" s="1"/>
  <c r="W21" i="9" l="1"/>
  <c r="W24" i="9" s="1"/>
  <c r="W28" i="9" s="1"/>
  <c r="W30" i="9" s="1"/>
  <c r="S45" i="8"/>
  <c r="S47" i="8" s="1"/>
  <c r="S23" i="8"/>
  <c r="R26" i="8" l="1"/>
  <c r="R10" i="8"/>
  <c r="V23" i="9"/>
  <c r="Z23" i="9" s="1"/>
  <c r="R8" i="8" l="1"/>
  <c r="V27" i="9"/>
  <c r="Z27" i="9" s="1"/>
  <c r="O27" i="9" l="1"/>
  <c r="O8" i="9"/>
  <c r="T5" i="9" l="1"/>
  <c r="U49" i="50"/>
  <c r="U46" i="50"/>
  <c r="U34" i="50"/>
  <c r="U32" i="50"/>
  <c r="U31" i="50"/>
  <c r="U13" i="50"/>
  <c r="U11" i="50"/>
  <c r="U6" i="50"/>
  <c r="U4" i="50"/>
  <c r="U3" i="50"/>
  <c r="U20" i="50"/>
  <c r="U25" i="50"/>
  <c r="U27" i="50"/>
  <c r="T24" i="50" l="1"/>
  <c r="T10" i="50"/>
  <c r="S24" i="50"/>
  <c r="S10" i="50"/>
  <c r="R24" i="50"/>
  <c r="R10" i="50"/>
  <c r="Q24" i="50"/>
  <c r="U24" i="50" s="1"/>
  <c r="Q10" i="50"/>
  <c r="U10" i="50" s="1"/>
  <c r="O24" i="50" l="1"/>
  <c r="O10" i="50"/>
  <c r="N24" i="50"/>
  <c r="N10" i="50"/>
  <c r="P10" i="50" s="1"/>
  <c r="P24" i="50" l="1"/>
  <c r="T17" i="9" l="1"/>
  <c r="S17" i="9"/>
  <c r="S27" i="9"/>
  <c r="S8" i="9"/>
  <c r="S5" i="9"/>
  <c r="R27" i="9"/>
  <c r="R17" i="9"/>
  <c r="R8" i="9"/>
  <c r="R5" i="9"/>
  <c r="Q5" i="9"/>
  <c r="Q27" i="9"/>
  <c r="Q8" i="9"/>
  <c r="Q17" i="9"/>
  <c r="R3" i="8" l="1"/>
  <c r="V20" i="9"/>
  <c r="Z20" i="9" s="1"/>
  <c r="V10" i="9"/>
  <c r="Z10" i="9" s="1"/>
  <c r="T4" i="9" l="1"/>
  <c r="S4" i="9"/>
  <c r="R4" i="9"/>
  <c r="Q4" i="9"/>
  <c r="R17" i="8" l="1"/>
  <c r="V4" i="9"/>
  <c r="Z4" i="9" s="1"/>
  <c r="Z6" i="9" s="1"/>
  <c r="Z12" i="9" s="1"/>
  <c r="Z21" i="9" s="1"/>
  <c r="Z24" i="9" s="1"/>
  <c r="Z28" i="9" s="1"/>
  <c r="Z30" i="9" s="1"/>
  <c r="U27" i="9" l="1"/>
  <c r="U20" i="9"/>
  <c r="U16" i="9"/>
  <c r="U10" i="9"/>
  <c r="U9" i="9"/>
  <c r="T23" i="9"/>
  <c r="T14" i="9"/>
  <c r="S23" i="9" l="1"/>
  <c r="S15" i="9"/>
  <c r="U15" i="9" s="1"/>
  <c r="S14" i="9"/>
  <c r="R14" i="9" l="1"/>
  <c r="U14" i="9" s="1"/>
  <c r="R23" i="9"/>
  <c r="U17" i="9"/>
  <c r="Q23" i="9" l="1"/>
  <c r="U23" i="9" s="1"/>
  <c r="Q11" i="9"/>
  <c r="U11" i="9" s="1"/>
  <c r="U8" i="9"/>
  <c r="U5" i="9"/>
  <c r="U4" i="9"/>
  <c r="O17" i="9" l="1"/>
  <c r="O23" i="9"/>
  <c r="V8" i="51" l="1"/>
  <c r="V12" i="51"/>
  <c r="V6" i="51"/>
  <c r="V12" i="1"/>
  <c r="R25" i="8"/>
  <c r="R43" i="8" l="1"/>
  <c r="R36" i="8"/>
  <c r="R28" i="8"/>
  <c r="R21" i="8"/>
  <c r="R14" i="8"/>
  <c r="V18" i="9"/>
  <c r="R45" i="8" l="1"/>
  <c r="R47" i="8" s="1"/>
  <c r="R23" i="8"/>
  <c r="Q18" i="50"/>
  <c r="U18" i="50" s="1"/>
  <c r="Q17" i="50"/>
  <c r="U17" i="50" s="1"/>
  <c r="U12" i="51" l="1"/>
  <c r="U8" i="51"/>
  <c r="U6" i="51"/>
  <c r="T12" i="51"/>
  <c r="T8" i="51"/>
  <c r="T6" i="51"/>
  <c r="U43" i="50"/>
  <c r="U35" i="50"/>
  <c r="U28" i="50"/>
  <c r="U21" i="50"/>
  <c r="U14" i="50"/>
  <c r="U7" i="50"/>
  <c r="T50" i="50"/>
  <c r="T43" i="50"/>
  <c r="T35" i="50"/>
  <c r="T28" i="50"/>
  <c r="T21" i="50"/>
  <c r="T14" i="50"/>
  <c r="T7" i="50"/>
  <c r="U12" i="1"/>
  <c r="Q43" i="8"/>
  <c r="Q36" i="8"/>
  <c r="Q28" i="8"/>
  <c r="Q25" i="8"/>
  <c r="Q21" i="8"/>
  <c r="Q14" i="8"/>
  <c r="Q45" i="8" l="1"/>
  <c r="Q47" i="8" s="1"/>
  <c r="Q23" i="8"/>
  <c r="U18" i="9" l="1"/>
  <c r="T18" i="9"/>
  <c r="S8" i="51" l="1"/>
  <c r="S12" i="51"/>
  <c r="S6" i="51"/>
  <c r="S50" i="50"/>
  <c r="S43" i="50"/>
  <c r="S35" i="50"/>
  <c r="S28" i="50"/>
  <c r="S21" i="50"/>
  <c r="S14" i="50"/>
  <c r="S7" i="50"/>
  <c r="P25" i="8"/>
  <c r="P43" i="8"/>
  <c r="P36" i="8"/>
  <c r="P28" i="8"/>
  <c r="P21" i="8"/>
  <c r="P14" i="8"/>
  <c r="S18" i="9"/>
  <c r="P45" i="8" l="1"/>
  <c r="P47" i="8" s="1"/>
  <c r="P23" i="8"/>
  <c r="N33" i="8"/>
  <c r="O33" i="8"/>
  <c r="M33" i="8"/>
  <c r="R12" i="51" l="1"/>
  <c r="R6" i="51"/>
  <c r="R50" i="50"/>
  <c r="R43" i="50"/>
  <c r="R35" i="50"/>
  <c r="R28" i="50"/>
  <c r="R21" i="50"/>
  <c r="R14" i="50"/>
  <c r="R7" i="50"/>
  <c r="R12" i="1"/>
  <c r="O43" i="8"/>
  <c r="O36" i="8"/>
  <c r="O28" i="8"/>
  <c r="O21" i="8"/>
  <c r="O14" i="8"/>
  <c r="R18" i="9"/>
  <c r="O45" i="8" l="1"/>
  <c r="O47" i="8" s="1"/>
  <c r="O23" i="8"/>
  <c r="Q47" i="50" l="1"/>
  <c r="Q50" i="50" l="1"/>
  <c r="U47" i="50"/>
  <c r="U50" i="50" s="1"/>
  <c r="Q12" i="51" l="1"/>
  <c r="Q6" i="51"/>
  <c r="Q43" i="50" l="1"/>
  <c r="Q35" i="50"/>
  <c r="Q28" i="50"/>
  <c r="Q21" i="50"/>
  <c r="Q14" i="50"/>
  <c r="Q7" i="50"/>
  <c r="Q12" i="1"/>
  <c r="N43" i="8"/>
  <c r="N36" i="8"/>
  <c r="N28" i="8"/>
  <c r="N21" i="8"/>
  <c r="N14" i="8"/>
  <c r="Q18" i="9"/>
  <c r="N45" i="8" l="1"/>
  <c r="N47" i="8" s="1"/>
  <c r="N23" i="8"/>
  <c r="O17" i="50"/>
  <c r="P17" i="50" s="1"/>
  <c r="O21" i="50" l="1"/>
  <c r="N21" i="50"/>
  <c r="P21" i="50"/>
  <c r="P12" i="51" l="1"/>
  <c r="O12" i="51"/>
  <c r="P6" i="51" l="1"/>
  <c r="O6" i="51"/>
  <c r="P43" i="50" l="1"/>
  <c r="O43" i="50"/>
  <c r="N43" i="50"/>
  <c r="P12" i="1" l="1"/>
  <c r="P7" i="50" l="1"/>
  <c r="O7" i="50"/>
  <c r="N7" i="50"/>
  <c r="P15" i="1" l="1"/>
  <c r="P14" i="1"/>
  <c r="P13" i="1"/>
  <c r="P7" i="1" l="1"/>
  <c r="P28" i="50" l="1"/>
  <c r="O28" i="50"/>
  <c r="N28" i="50"/>
  <c r="P14" i="50"/>
  <c r="O14" i="50"/>
  <c r="N14" i="50"/>
  <c r="P35" i="50" l="1"/>
  <c r="O35" i="50"/>
  <c r="N35" i="50"/>
  <c r="O12" i="1" l="1"/>
  <c r="P18" i="9" l="1"/>
  <c r="M43" i="8" l="1"/>
  <c r="M36" i="8"/>
  <c r="M28" i="8"/>
  <c r="M21" i="8"/>
  <c r="M14" i="8"/>
  <c r="M45" i="8" l="1"/>
  <c r="M47" i="8" s="1"/>
  <c r="M23" i="8"/>
  <c r="O18" i="9"/>
  <c r="O6" i="9" l="1"/>
  <c r="O12" i="9" s="1"/>
  <c r="P6" i="9"/>
  <c r="P12" i="9" s="1"/>
  <c r="T6" i="9"/>
  <c r="T12" i="9" s="1"/>
  <c r="U6" i="9"/>
  <c r="U12" i="9" s="1"/>
  <c r="V6" i="9"/>
  <c r="R6" i="9"/>
  <c r="R12" i="9" s="1"/>
  <c r="Q6" i="9"/>
  <c r="Q12" i="9" s="1"/>
  <c r="S6" i="9"/>
  <c r="S12" i="9" s="1"/>
  <c r="V12" i="9" l="1"/>
  <c r="U21" i="9"/>
  <c r="U24" i="9" s="1"/>
  <c r="T21" i="9"/>
  <c r="T24" i="9" s="1"/>
  <c r="S21" i="9"/>
  <c r="S24" i="9" s="1"/>
  <c r="R21" i="9"/>
  <c r="R24" i="9" s="1"/>
  <c r="Q21" i="9"/>
  <c r="Q24" i="9" s="1"/>
  <c r="O21" i="9"/>
  <c r="O24" i="9" s="1"/>
  <c r="P21" i="9"/>
  <c r="P24" i="9" s="1"/>
  <c r="V21" i="9" l="1"/>
  <c r="V24" i="9" s="1"/>
  <c r="S28" i="9"/>
  <c r="S30" i="9" s="1"/>
  <c r="P28" i="9"/>
  <c r="P30" i="9" s="1"/>
  <c r="T28" i="9"/>
  <c r="T30" i="9" s="1"/>
  <c r="O28" i="9"/>
  <c r="O30" i="9" s="1"/>
  <c r="R28" i="9"/>
  <c r="R30" i="9" s="1"/>
  <c r="Q28" i="9"/>
  <c r="Q30" i="9" s="1"/>
  <c r="U28" i="9"/>
  <c r="U30" i="9" s="1"/>
  <c r="V28" i="9" l="1"/>
  <c r="V30" i="9" l="1"/>
</calcChain>
</file>

<file path=xl/sharedStrings.xml><?xml version="1.0" encoding="utf-8"?>
<sst xmlns="http://schemas.openxmlformats.org/spreadsheetml/2006/main" count="501" uniqueCount="180">
  <si>
    <t>EBITDA-margin</t>
  </si>
  <si>
    <t>Equity ratio</t>
  </si>
  <si>
    <t>Return on equity</t>
  </si>
  <si>
    <t>Return on capital employed</t>
  </si>
  <si>
    <t>Share price (NOK)</t>
  </si>
  <si>
    <t>Market cap (NOKm)</t>
  </si>
  <si>
    <t>Market cap (USDm)</t>
  </si>
  <si>
    <t xml:space="preserve"> </t>
  </si>
  <si>
    <t>EBIT</t>
  </si>
  <si>
    <t>EBITDA</t>
  </si>
  <si>
    <t>Depreciation and amortisation</t>
  </si>
  <si>
    <t>Taxes paid</t>
  </si>
  <si>
    <t>Change in fair value of derivatives</t>
  </si>
  <si>
    <t>Add back of net interest expense</t>
  </si>
  <si>
    <t>Net cash flow from operating activities</t>
  </si>
  <si>
    <t>Interest received</t>
  </si>
  <si>
    <t>Net cash flow from investing activities</t>
  </si>
  <si>
    <t>Interest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</si>
  <si>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</si>
  <si>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</si>
  <si>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</si>
  <si>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</si>
  <si>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ASSETS</t>
  </si>
  <si>
    <t>Finance lease receivables</t>
  </si>
  <si>
    <t xml:space="preserve">Total non-current assets </t>
  </si>
  <si>
    <t>Trade receivables and other current assets</t>
  </si>
  <si>
    <t>Total current assets</t>
  </si>
  <si>
    <t>TOTAL ASSETS</t>
  </si>
  <si>
    <t>EQUITY AND LIABILITIES</t>
  </si>
  <si>
    <t>Total equity</t>
  </si>
  <si>
    <t>Pension obligations</t>
  </si>
  <si>
    <t>Other long-term liabilities</t>
  </si>
  <si>
    <t>Derivatives</t>
  </si>
  <si>
    <t>Total non-current liabilities</t>
  </si>
  <si>
    <t>Trade and other payables</t>
  </si>
  <si>
    <t>Total current liabilities</t>
  </si>
  <si>
    <t>Total liabilities</t>
  </si>
  <si>
    <t>TOTAL EQUITY AND LIABILITIES</t>
  </si>
  <si>
    <t>Operating revenue</t>
  </si>
  <si>
    <t>Operating expenses</t>
  </si>
  <si>
    <t>Depreciation</t>
  </si>
  <si>
    <t>Amortisation</t>
  </si>
  <si>
    <t xml:space="preserve">Interest income </t>
  </si>
  <si>
    <t>Gain/(loss) on financial instruments</t>
  </si>
  <si>
    <t>Interest expense</t>
  </si>
  <si>
    <t>Other financial items</t>
  </si>
  <si>
    <t>Profit/(loss) before tax</t>
  </si>
  <si>
    <t>Income tax expense</t>
  </si>
  <si>
    <t xml:space="preserve">Net profit/(loss) for the period </t>
  </si>
  <si>
    <t>Interest-bearing long-term debt</t>
  </si>
  <si>
    <t>Interest-bearing short-term debt</t>
  </si>
  <si>
    <t>Other non-current assets</t>
  </si>
  <si>
    <t>Income tax liabilities</t>
  </si>
  <si>
    <t>Vessels and vessels under construction</t>
  </si>
  <si>
    <t xml:space="preserve">Impairment </t>
  </si>
  <si>
    <t>Inventories</t>
  </si>
  <si>
    <t>Pension assets</t>
  </si>
  <si>
    <t>Cash and cash equivalents</t>
  </si>
  <si>
    <t>Deferred tax assets</t>
  </si>
  <si>
    <t>Non-controlling interests</t>
  </si>
  <si>
    <t>Attributable to shareholders of the parent</t>
  </si>
  <si>
    <t>Attributable to non-controlling interests</t>
  </si>
  <si>
    <t>Shareholders' equity</t>
  </si>
  <si>
    <t>FPSO</t>
  </si>
  <si>
    <t>Eliminations</t>
  </si>
  <si>
    <t>Impairment vessels and other assets</t>
  </si>
  <si>
    <t>Net interest-bearing debt (USD million)</t>
  </si>
  <si>
    <t>Operating profit /(loss) before depreciation/amortisation</t>
  </si>
  <si>
    <t>Operating profit/(loss)</t>
  </si>
  <si>
    <t>Net financial income/(expense)</t>
  </si>
  <si>
    <t>Profit/(loss) before taxes</t>
  </si>
  <si>
    <t>Unrealised currency exchange loss/(gain)</t>
  </si>
  <si>
    <t>Cash flow per share (USD)</t>
  </si>
  <si>
    <t>Share of profit/(loss) from equity accounted investments</t>
  </si>
  <si>
    <t>Equity accounted investments</t>
  </si>
  <si>
    <t>Share of loss/(profit) from equity accounted investments</t>
  </si>
  <si>
    <t>Q2 2018</t>
  </si>
  <si>
    <t>Q3 2018</t>
  </si>
  <si>
    <t>Q4 2018</t>
  </si>
  <si>
    <t>E&amp;P tangible assets</t>
  </si>
  <si>
    <t>E&amp;P</t>
  </si>
  <si>
    <t>FY 2018</t>
  </si>
  <si>
    <t>CAPEX</t>
  </si>
  <si>
    <t>Assets held for sale</t>
  </si>
  <si>
    <t>Gain/(loss) sale of assets</t>
  </si>
  <si>
    <t>Changes in ARO through income statement</t>
  </si>
  <si>
    <t>Assets not allocated to segments</t>
  </si>
  <si>
    <t>Total non-current assets</t>
  </si>
  <si>
    <t>Americas</t>
  </si>
  <si>
    <t>Europe/Africa</t>
  </si>
  <si>
    <t>Asia and the Pacific</t>
  </si>
  <si>
    <t>Total non-current assets*</t>
  </si>
  <si>
    <t>* Excluding deferred tax assets, pension assets, finance lease receivables, derivatives, equity accounted investments and other non-current assets</t>
  </si>
  <si>
    <t>Depreciation, amortisation, impairment and gain sale of assets</t>
  </si>
  <si>
    <t>Q1 2019</t>
  </si>
  <si>
    <t>Effect on EBITDA of Implementing IFRS 16*</t>
  </si>
  <si>
    <t>*The effect on EBITDA of implementing IFRS 16 is provided for information purposes only.</t>
  </si>
  <si>
    <t>Instalment on financial lease</t>
  </si>
  <si>
    <t>Changes in inventories</t>
  </si>
  <si>
    <t>Changes in trade and other current assets</t>
  </si>
  <si>
    <t xml:space="preserve">Changes in trade and other payables </t>
  </si>
  <si>
    <t>Changes in other balance sheet items and items related to operating activities</t>
  </si>
  <si>
    <t>Payment of lease liabilities</t>
  </si>
  <si>
    <t>Q2 2019</t>
  </si>
  <si>
    <t>Asset retirement obligations</t>
  </si>
  <si>
    <t>Q3 2019</t>
  </si>
  <si>
    <t>Revenues</t>
  </si>
  <si>
    <t>Q4 2019</t>
  </si>
  <si>
    <t>FY 2019</t>
  </si>
  <si>
    <t>Share-based payment expense</t>
  </si>
  <si>
    <t>Diluted earnings/(loss) per share (USD) net</t>
  </si>
  <si>
    <t>Basic earnings/(loss) per share (USD) net</t>
  </si>
  <si>
    <t>EPS - basic (USD)</t>
  </si>
  <si>
    <t>EPS - diluted (USD)</t>
  </si>
  <si>
    <t>Q1 2020</t>
  </si>
  <si>
    <t>Profit/(loss) from discontinued operation</t>
  </si>
  <si>
    <t>Profit/(loss) from continuing operations</t>
  </si>
  <si>
    <t>CONTINUING OPERATIONS</t>
  </si>
  <si>
    <t>DISCONTINUED OPERATION</t>
  </si>
  <si>
    <t>EARNINGS PER SHARE</t>
  </si>
  <si>
    <t>Discontinued operation, net of cash disposed off</t>
  </si>
  <si>
    <t>Net effect from discontinued operation</t>
  </si>
  <si>
    <t>*The comparative information has been restated due to a discontinued operation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</si>
  <si>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</si>
  <si>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</si>
  <si>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</si>
  <si>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</si>
  <si>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</si>
  <si>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</si>
  <si>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</si>
  <si>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</si>
  <si>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Q2 2020</t>
  </si>
  <si>
    <t>Loss/ (gain) on disposal of property, plant &amp; equipment</t>
  </si>
  <si>
    <t>Investment in property, plant &amp; equipment and intangible assets</t>
  </si>
  <si>
    <t>Proceeds from disposal of property, plant &amp; equipment</t>
  </si>
  <si>
    <t>Property, plant &amp; equipment</t>
  </si>
  <si>
    <t>Dividends paid</t>
  </si>
  <si>
    <t>Treasury shares acquired</t>
  </si>
  <si>
    <t>Q3 2020</t>
  </si>
  <si>
    <t>Outstanding shares - end of period (million)</t>
  </si>
  <si>
    <t>Q2 2018*</t>
  </si>
  <si>
    <t>Q1 2018*</t>
  </si>
  <si>
    <t>FY 2017</t>
  </si>
  <si>
    <t>Q4 2017</t>
  </si>
  <si>
    <t>Q3 2017</t>
  </si>
  <si>
    <t>Q2 2017</t>
  </si>
  <si>
    <t>Q1 2017</t>
  </si>
  <si>
    <t>FY 2016</t>
  </si>
  <si>
    <t>Q4 2016</t>
  </si>
  <si>
    <t>Q3 2016</t>
  </si>
  <si>
    <t>Q2 2016</t>
  </si>
  <si>
    <t>Q1 2016</t>
  </si>
  <si>
    <t>Q1 2018</t>
  </si>
  <si>
    <t>Q2 2017*</t>
  </si>
  <si>
    <t>Q3 2017*</t>
  </si>
  <si>
    <t>Q4 2017*</t>
  </si>
  <si>
    <t>FY 2017*</t>
  </si>
  <si>
    <t>Q1 2017*</t>
  </si>
  <si>
    <t>Q4 2020</t>
  </si>
  <si>
    <t>FY 2020</t>
  </si>
  <si>
    <t>Right-of-use assets</t>
  </si>
  <si>
    <t xml:space="preserve">Total revenue </t>
  </si>
  <si>
    <t>Dividends received</t>
  </si>
  <si>
    <t>Cash transfer from/ (to) non-controlling interests*</t>
  </si>
  <si>
    <t>Q1 2021</t>
  </si>
  <si>
    <t>Transaction costs relating to share issue</t>
  </si>
  <si>
    <t>Proceeds from share issue</t>
  </si>
  <si>
    <t>Q2 2021</t>
  </si>
  <si>
    <t>Intangible assets and goodwill</t>
  </si>
  <si>
    <t>Proceeds from loans and borrowings</t>
  </si>
  <si>
    <t>Repayment of loans and borrowings</t>
  </si>
  <si>
    <t>Acquisition of subsidiary, net of cash acquired</t>
  </si>
  <si>
    <t>Floating wind</t>
  </si>
  <si>
    <t>Q3 2021</t>
  </si>
  <si>
    <t>Adjustments for:</t>
  </si>
  <si>
    <t>Changes in:</t>
  </si>
  <si>
    <t>Changes in deferred revenues</t>
  </si>
  <si>
    <t>Cash generated from operating activities</t>
  </si>
  <si>
    <t>Long-term lease liabilities</t>
  </si>
  <si>
    <t>Short-term lease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</si>
</sst>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  <numFmt numFmtId="176" formatCode="#,##0.00_);\(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171" fontId="5" fillId="0" borderId="0"/>
    <xf numFmtId="164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7">
    <xf numFmtId="0" fontId="0" fillId="0" borderId="0" xfId="0"/>
    <xf numFmtId="0" fontId="4" fillId="0" borderId="0" xfId="0" applyFont="1" applyBorder="1"/>
    <xf numFmtId="0" fontId="4" fillId="0" borderId="0" xfId="0" applyFont="1" applyFill="1"/>
    <xf numFmtId="0" fontId="2" fillId="0" borderId="0" xfId="0" applyFont="1" applyBorder="1"/>
    <xf numFmtId="0" fontId="4" fillId="0" borderId="0" xfId="0" applyFont="1"/>
    <xf numFmtId="0" fontId="2" fillId="0" borderId="0" xfId="0" applyFont="1"/>
    <xf numFmtId="0" fontId="0" fillId="0" borderId="0" xfId="0" applyBorder="1"/>
    <xf numFmtId="0" fontId="0" fillId="0" borderId="0" xfId="0"/>
    <xf numFmtId="0" fontId="11" fillId="0" borderId="0" xfId="0" applyFont="1" applyFill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6" fillId="0" borderId="0" xfId="0" applyFont="1" applyFill="1" applyAlignment="1">
      <alignment vertical="center" readingOrder="1"/>
    </xf>
    <xf numFmtId="0" fontId="6" fillId="0" borderId="0" xfId="0" applyFont="1" applyBorder="1" applyAlignment="1">
      <alignment vertical="center" readingOrder="1"/>
    </xf>
    <xf numFmtId="166" fontId="6" fillId="2" borderId="0" xfId="4" applyNumberFormat="1" applyFont="1" applyFill="1" applyBorder="1" applyAlignment="1">
      <alignment vertical="center" readingOrder="1"/>
    </xf>
    <xf numFmtId="166" fontId="6" fillId="0" borderId="0" xfId="0" applyNumberFormat="1" applyFont="1" applyFill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Border="1" applyAlignment="1">
      <alignment horizontal="right" vertical="center" readingOrder="1"/>
    </xf>
    <xf numFmtId="0" fontId="12" fillId="0" borderId="0" xfId="0" applyFont="1" applyFill="1" applyBorder="1"/>
    <xf numFmtId="173" fontId="13" fillId="0" borderId="0" xfId="1" applyNumberFormat="1" applyFont="1" applyFill="1" applyBorder="1"/>
    <xf numFmtId="0" fontId="16" fillId="0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Fill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Border="1" applyAlignment="1">
      <alignment vertical="center" readingOrder="1"/>
    </xf>
    <xf numFmtId="166" fontId="17" fillId="0" borderId="0" xfId="4" applyNumberFormat="1" applyFont="1" applyFill="1" applyBorder="1" applyAlignment="1">
      <alignment vertical="center" readingOrder="1"/>
    </xf>
    <xf numFmtId="166" fontId="17" fillId="2" borderId="0" xfId="4" applyNumberFormat="1" applyFont="1" applyFill="1" applyBorder="1" applyAlignment="1">
      <alignment vertical="center" readingOrder="1"/>
    </xf>
    <xf numFmtId="166" fontId="17" fillId="3" borderId="0" xfId="4" applyNumberFormat="1" applyFont="1" applyFill="1" applyBorder="1" applyAlignment="1">
      <alignment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4" applyNumberFormat="1" applyFont="1" applyFill="1" applyBorder="1" applyAlignment="1">
      <alignment vertical="center" readingOrder="1"/>
    </xf>
    <xf numFmtId="166" fontId="16" fillId="2" borderId="0" xfId="4" applyNumberFormat="1" applyFont="1" applyFill="1" applyBorder="1" applyAlignment="1">
      <alignment vertical="center" readingOrder="1"/>
    </xf>
    <xf numFmtId="168" fontId="16" fillId="0" borderId="0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Border="1" applyAlignment="1">
      <alignment vertical="center" readingOrder="1"/>
    </xf>
    <xf numFmtId="168" fontId="16" fillId="3" borderId="0" xfId="4" applyNumberFormat="1" applyFont="1" applyFill="1" applyBorder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Fill="1" applyBorder="1" applyAlignment="1">
      <alignment vertical="center" readingOrder="1"/>
    </xf>
    <xf numFmtId="166" fontId="16" fillId="2" borderId="0" xfId="0" applyNumberFormat="1" applyFont="1" applyFill="1" applyBorder="1" applyAlignment="1">
      <alignment vertical="center" readingOrder="1"/>
    </xf>
    <xf numFmtId="166" fontId="17" fillId="3" borderId="0" xfId="0" applyNumberFormat="1" applyFont="1" applyFill="1" applyBorder="1" applyAlignment="1">
      <alignment vertical="center" readingOrder="1"/>
    </xf>
    <xf numFmtId="166" fontId="17" fillId="0" borderId="1" xfId="4" applyNumberFormat="1" applyFont="1" applyFill="1" applyBorder="1" applyAlignment="1">
      <alignment vertical="center" readingOrder="1"/>
    </xf>
    <xf numFmtId="166" fontId="17" fillId="3" borderId="1" xfId="4" applyNumberFormat="1" applyFont="1" applyFill="1" applyBorder="1" applyAlignment="1">
      <alignment vertical="center" readingOrder="1"/>
    </xf>
    <xf numFmtId="0" fontId="17" fillId="0" borderId="0" xfId="4" applyFont="1" applyFill="1" applyBorder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Fill="1" applyBorder="1" applyAlignment="1">
      <alignment vertical="center" readingOrder="1"/>
    </xf>
    <xf numFmtId="0" fontId="16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Border="1"/>
    <xf numFmtId="0" fontId="16" fillId="2" borderId="0" xfId="4" applyFont="1" applyFill="1" applyBorder="1" applyAlignment="1">
      <alignment vertical="center"/>
    </xf>
    <xf numFmtId="166" fontId="16" fillId="0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Fill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17" fillId="0" borderId="0" xfId="4" applyFont="1" applyFill="1" applyBorder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Fill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8" fillId="0" borderId="0" xfId="0" applyFont="1"/>
    <xf numFmtId="0" fontId="17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167" fontId="17" fillId="3" borderId="2" xfId="1" applyNumberFormat="1" applyFont="1" applyFill="1" applyBorder="1" applyAlignment="1" applyProtection="1">
      <alignment horizontal="right" vertical="center"/>
      <protection locked="0"/>
    </xf>
    <xf numFmtId="167" fontId="16" fillId="3" borderId="0" xfId="1" applyNumberFormat="1" applyFont="1" applyFill="1" applyBorder="1" applyAlignment="1" applyProtection="1">
      <alignment vertical="center"/>
      <protection locked="0"/>
    </xf>
    <xf numFmtId="167" fontId="17" fillId="3" borderId="0" xfId="1" applyNumberFormat="1" applyFont="1" applyFill="1" applyBorder="1" applyAlignment="1" applyProtection="1">
      <alignment vertical="center" wrapText="1"/>
      <protection locked="0"/>
    </xf>
    <xf numFmtId="0" fontId="16" fillId="4" borderId="0" xfId="6" applyFont="1" applyFill="1" applyBorder="1" applyAlignment="1">
      <alignment vertical="center"/>
    </xf>
    <xf numFmtId="0" fontId="16" fillId="3" borderId="0" xfId="6" applyFont="1" applyFill="1" applyBorder="1" applyAlignment="1">
      <alignment horizontal="right" vertical="center"/>
    </xf>
    <xf numFmtId="0" fontId="16" fillId="0" borderId="0" xfId="6" applyFont="1" applyFill="1" applyBorder="1" applyAlignment="1">
      <alignment horizontal="right" vertical="center"/>
    </xf>
    <xf numFmtId="172" fontId="16" fillId="0" borderId="0" xfId="6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Border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Fill="1" applyAlignment="1">
      <alignment horizontal="right" vertical="center"/>
    </xf>
    <xf numFmtId="169" fontId="16" fillId="3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Border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Border="1" applyAlignment="1">
      <alignment vertical="center"/>
    </xf>
    <xf numFmtId="174" fontId="20" fillId="2" borderId="1" xfId="20" applyNumberFormat="1" applyFont="1" applyFill="1" applyBorder="1" applyAlignment="1">
      <alignment horizontal="center"/>
    </xf>
    <xf numFmtId="167" fontId="4" fillId="0" borderId="0" xfId="1" applyNumberFormat="1" applyFont="1"/>
    <xf numFmtId="166" fontId="16" fillId="3" borderId="0" xfId="4" applyNumberFormat="1" applyFont="1" applyFill="1" applyBorder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169" fontId="0" fillId="0" borderId="0" xfId="0" applyNumberFormat="1"/>
    <xf numFmtId="176" fontId="16" fillId="0" borderId="0" xfId="1" applyNumberFormat="1" applyFont="1" applyFill="1" applyBorder="1" applyAlignment="1">
      <alignment horizontal="right" vertical="center" readingOrder="1"/>
    </xf>
    <xf numFmtId="170" fontId="16" fillId="3" borderId="0" xfId="2" applyNumberFormat="1" applyFont="1" applyFill="1" applyBorder="1" applyAlignment="1">
      <alignment horizontal="right" vertical="center"/>
    </xf>
    <xf numFmtId="172" fontId="16" fillId="3" borderId="0" xfId="1" applyNumberFormat="1" applyFont="1" applyFill="1" applyBorder="1" applyAlignment="1">
      <alignment horizontal="right" vertical="center"/>
    </xf>
    <xf numFmtId="176" fontId="16" fillId="3" borderId="0" xfId="1" applyNumberFormat="1" applyFont="1" applyFill="1" applyBorder="1" applyAlignment="1">
      <alignment horizontal="right" vertical="center" readingOrder="1"/>
    </xf>
    <xf numFmtId="164" fontId="16" fillId="3" borderId="0" xfId="4" applyNumberFormat="1" applyFont="1" applyFill="1" applyBorder="1" applyAlignment="1">
      <alignment vertical="center" readingOrder="1"/>
    </xf>
    <xf numFmtId="164" fontId="16" fillId="0" borderId="0" xfId="4" applyNumberFormat="1" applyFont="1" applyFill="1" applyBorder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Border="1" applyAlignment="1">
      <alignment horizontal="right"/>
    </xf>
    <xf numFmtId="167" fontId="0" fillId="0" borderId="0" xfId="1" applyNumberFormat="1" applyFont="1"/>
    <xf numFmtId="167" fontId="20" fillId="0" borderId="1" xfId="1" applyNumberFormat="1" applyFont="1" applyFill="1" applyBorder="1" applyAlignment="1" applyProtection="1">
      <alignment horizontal="right" vertical="center"/>
      <protection locked="0"/>
    </xf>
    <xf numFmtId="167" fontId="20" fillId="0" borderId="0" xfId="1" applyNumberFormat="1" applyFont="1" applyFill="1" applyBorder="1" applyAlignment="1" applyProtection="1">
      <alignment vertical="center" wrapText="1"/>
      <protection locked="0"/>
    </xf>
    <xf numFmtId="167" fontId="20" fillId="0" borderId="2" xfId="1" applyNumberFormat="1" applyFont="1" applyFill="1" applyBorder="1" applyAlignment="1" applyProtection="1">
      <alignment horizontal="right"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8" fontId="16" fillId="0" borderId="0" xfId="4" applyNumberFormat="1" applyFont="1" applyAlignment="1">
      <alignment vertical="center" readingOrder="1"/>
    </xf>
    <xf numFmtId="169" fontId="4" fillId="0" borderId="0" xfId="0" applyNumberFormat="1" applyFont="1" applyBorder="1"/>
    <xf numFmtId="49" fontId="6" fillId="2" borderId="0" xfId="3" applyNumberFormat="1" applyFont="1" applyFill="1" applyAlignment="1" applyProtection="1">
      <alignment vertical="center"/>
      <protection locked="0"/>
    </xf>
    <xf numFmtId="167" fontId="17" fillId="3" borderId="1" xfId="1" applyNumberFormat="1" applyFont="1" applyFill="1" applyBorder="1" applyAlignment="1" applyProtection="1">
      <alignment horizontal="right" vertical="center"/>
      <protection locked="0"/>
    </xf>
    <xf numFmtId="172" fontId="16" fillId="3" borderId="0" xfId="6" applyNumberFormat="1" applyFont="1" applyFill="1" applyBorder="1" applyAlignment="1">
      <alignment horizontal="right" vertical="center"/>
    </xf>
    <xf numFmtId="49" fontId="18" fillId="0" borderId="0" xfId="3" applyNumberFormat="1" applyFont="1" applyAlignment="1" applyProtection="1">
      <alignment vertical="center"/>
      <protection locked="0"/>
    </xf>
    <xf numFmtId="49" fontId="6" fillId="0" borderId="0" xfId="3" applyNumberFormat="1" applyFont="1" applyAlignment="1" applyProtection="1">
      <alignment vertical="center"/>
      <protection locked="0"/>
    </xf>
    <xf numFmtId="0" fontId="14" fillId="5" borderId="1" xfId="0" applyFont="1" applyFill="1" applyBorder="1" applyAlignment="1">
      <alignment horizontal="left" vertical="center" readingOrder="1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168" fontId="18" fillId="0" borderId="0" xfId="4" applyNumberFormat="1" applyFont="1" applyAlignment="1">
      <alignment vertical="center" readingOrder="1"/>
    </xf>
    <xf numFmtId="168" fontId="16" fillId="3" borderId="0" xfId="4" applyNumberFormat="1" applyFont="1" applyFill="1" applyAlignment="1">
      <alignment vertical="center" readingOrder="1"/>
    </xf>
    <xf numFmtId="49" fontId="22" fillId="0" borderId="0" xfId="3" applyNumberFormat="1" applyFont="1" applyAlignment="1" applyProtection="1">
      <alignment vertical="center"/>
      <protection locked="0"/>
    </xf>
    <xf numFmtId="168" fontId="16" fillId="3" borderId="1" xfId="4" applyNumberFormat="1" applyFont="1" applyFill="1" applyBorder="1" applyAlignment="1">
      <alignment vertical="center" readingOrder="1"/>
    </xf>
    <xf numFmtId="168" fontId="18" fillId="0" borderId="0" xfId="20" applyNumberFormat="1" applyFont="1" applyFill="1" applyBorder="1" applyAlignment="1">
      <alignment horizontal="center"/>
    </xf>
    <xf numFmtId="49" fontId="20" fillId="0" borderId="1" xfId="3" applyNumberFormat="1" applyFont="1" applyBorder="1" applyAlignment="1" applyProtection="1">
      <alignment vertical="center" wrapText="1"/>
      <protection locked="0"/>
    </xf>
    <xf numFmtId="49" fontId="20" fillId="0" borderId="0" xfId="3" applyNumberFormat="1" applyFont="1" applyAlignment="1" applyProtection="1">
      <alignment vertical="center" wrapText="1"/>
      <protection locked="0"/>
    </xf>
    <xf numFmtId="166" fontId="20" fillId="0" borderId="1" xfId="4" applyNumberFormat="1" applyFont="1" applyBorder="1" applyAlignment="1">
      <alignment vertical="center" readingOrder="1"/>
    </xf>
    <xf numFmtId="166" fontId="17" fillId="0" borderId="1" xfId="4" applyNumberFormat="1" applyFont="1" applyBorder="1" applyAlignment="1">
      <alignment vertical="center" readingOrder="1"/>
    </xf>
    <xf numFmtId="49" fontId="21" fillId="0" borderId="0" xfId="3" applyNumberFormat="1" applyFont="1" applyAlignment="1" applyProtection="1">
      <alignment vertical="center"/>
      <protection locked="0"/>
    </xf>
    <xf numFmtId="166" fontId="20" fillId="0" borderId="0" xfId="4" applyNumberFormat="1" applyFont="1" applyAlignment="1">
      <alignment vertical="center" readingOrder="1"/>
    </xf>
    <xf numFmtId="166" fontId="17" fillId="0" borderId="0" xfId="4" applyNumberFormat="1" applyFont="1" applyAlignment="1">
      <alignment vertical="center" readingOrder="1"/>
    </xf>
    <xf numFmtId="166" fontId="17" fillId="3" borderId="0" xfId="4" applyNumberFormat="1" applyFont="1" applyFill="1" applyAlignment="1">
      <alignment vertical="center" readingOrder="1"/>
    </xf>
    <xf numFmtId="49" fontId="20" fillId="0" borderId="2" xfId="3" applyNumberFormat="1" applyFont="1" applyBorder="1" applyAlignment="1" applyProtection="1">
      <alignment vertical="center" wrapText="1"/>
      <protection locked="0"/>
    </xf>
    <xf numFmtId="49" fontId="20" fillId="0" borderId="1" xfId="3" applyNumberFormat="1" applyFont="1" applyBorder="1" applyAlignment="1" applyProtection="1">
      <alignment vertical="center"/>
      <protection locked="0"/>
    </xf>
    <xf numFmtId="49" fontId="18" fillId="0" borderId="1" xfId="3" applyNumberFormat="1" applyFont="1" applyFill="1" applyBorder="1" applyAlignment="1" applyProtection="1">
      <alignment vertical="center"/>
      <protection locked="0"/>
    </xf>
    <xf numFmtId="168" fontId="18" fillId="0" borderId="1" xfId="20" applyNumberFormat="1" applyFont="1" applyFill="1" applyBorder="1" applyAlignment="1">
      <alignment horizontal="center"/>
    </xf>
    <xf numFmtId="168" fontId="18" fillId="0" borderId="1" xfId="4" applyNumberFormat="1" applyFont="1" applyFill="1" applyBorder="1" applyAlignment="1">
      <alignment vertical="center" readingOrder="1"/>
    </xf>
    <xf numFmtId="168" fontId="16" fillId="0" borderId="1" xfId="4" applyNumberFormat="1" applyFont="1" applyFill="1" applyBorder="1" applyAlignment="1">
      <alignment vertical="center" readingOrder="1"/>
    </xf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FF66FF"/>
      <color rgb="FF92CDDC"/>
      <color rgb="FF00A98F"/>
      <color rgb="FFF8A712"/>
      <color rgb="FF001E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49"/>
  <sheetViews>
    <sheetView showGridLines="0" tabSelected="1" zoomScaleNormal="100" zoomScalePageLayoutView="120" workbookViewId="0">
      <selection activeCell="U44" sqref="U44"/>
    </sheetView>
  </sheetViews>
  <sheetFormatPr defaultColWidth="8.85546875" defaultRowHeight="12" x14ac:dyDescent="0.2"/>
  <cols>
    <col min="1" max="1" width="46.28515625" style="4" customWidth="1"/>
    <col min="2" max="18" width="10.85546875" style="4" hidden="1" customWidth="1"/>
    <col min="19" max="21" width="10.85546875" style="4" customWidth="1"/>
    <col min="22" max="25" width="10.85546875" style="95" customWidth="1"/>
    <col min="26" max="29" width="10.85546875" style="4" customWidth="1"/>
    <col min="30" max="241" width="8.85546875" style="4"/>
    <col min="242" max="242" width="41.140625" style="4" customWidth="1"/>
    <col min="243" max="243" width="5.42578125" style="4" customWidth="1"/>
    <col min="244" max="246" width="9.140625" style="4" customWidth="1"/>
    <col min="247" max="249" width="8.85546875" style="4"/>
    <col min="250" max="250" width="0" style="4" hidden="1" customWidth="1"/>
    <col min="251" max="497" width="8.85546875" style="4"/>
    <col min="498" max="498" width="41.140625" style="4" customWidth="1"/>
    <col min="499" max="499" width="5.42578125" style="4" customWidth="1"/>
    <col min="500" max="502" width="9.140625" style="4" customWidth="1"/>
    <col min="503" max="505" width="8.85546875" style="4"/>
    <col min="506" max="506" width="0" style="4" hidden="1" customWidth="1"/>
    <col min="507" max="753" width="8.85546875" style="4"/>
    <col min="754" max="754" width="41.140625" style="4" customWidth="1"/>
    <col min="755" max="755" width="5.42578125" style="4" customWidth="1"/>
    <col min="756" max="758" width="9.140625" style="4" customWidth="1"/>
    <col min="759" max="761" width="8.85546875" style="4"/>
    <col min="762" max="762" width="0" style="4" hidden="1" customWidth="1"/>
    <col min="763" max="1009" width="8.85546875" style="4"/>
    <col min="1010" max="1010" width="41.140625" style="4" customWidth="1"/>
    <col min="1011" max="1011" width="5.42578125" style="4" customWidth="1"/>
    <col min="1012" max="1014" width="9.140625" style="4" customWidth="1"/>
    <col min="1015" max="1017" width="8.85546875" style="4"/>
    <col min="1018" max="1018" width="0" style="4" hidden="1" customWidth="1"/>
    <col min="1019" max="1265" width="8.85546875" style="4"/>
    <col min="1266" max="1266" width="41.140625" style="4" customWidth="1"/>
    <col min="1267" max="1267" width="5.42578125" style="4" customWidth="1"/>
    <col min="1268" max="1270" width="9.140625" style="4" customWidth="1"/>
    <col min="1271" max="1273" width="8.85546875" style="4"/>
    <col min="1274" max="1274" width="0" style="4" hidden="1" customWidth="1"/>
    <col min="1275" max="1521" width="8.85546875" style="4"/>
    <col min="1522" max="1522" width="41.140625" style="4" customWidth="1"/>
    <col min="1523" max="1523" width="5.42578125" style="4" customWidth="1"/>
    <col min="1524" max="1526" width="9.140625" style="4" customWidth="1"/>
    <col min="1527" max="1529" width="8.85546875" style="4"/>
    <col min="1530" max="1530" width="0" style="4" hidden="1" customWidth="1"/>
    <col min="1531" max="1777" width="8.85546875" style="4"/>
    <col min="1778" max="1778" width="41.140625" style="4" customWidth="1"/>
    <col min="1779" max="1779" width="5.42578125" style="4" customWidth="1"/>
    <col min="1780" max="1782" width="9.140625" style="4" customWidth="1"/>
    <col min="1783" max="1785" width="8.85546875" style="4"/>
    <col min="1786" max="1786" width="0" style="4" hidden="1" customWidth="1"/>
    <col min="1787" max="2033" width="8.85546875" style="4"/>
    <col min="2034" max="2034" width="41.140625" style="4" customWidth="1"/>
    <col min="2035" max="2035" width="5.42578125" style="4" customWidth="1"/>
    <col min="2036" max="2038" width="9.140625" style="4" customWidth="1"/>
    <col min="2039" max="2041" width="8.85546875" style="4"/>
    <col min="2042" max="2042" width="0" style="4" hidden="1" customWidth="1"/>
    <col min="2043" max="2289" width="8.85546875" style="4"/>
    <col min="2290" max="2290" width="41.140625" style="4" customWidth="1"/>
    <col min="2291" max="2291" width="5.42578125" style="4" customWidth="1"/>
    <col min="2292" max="2294" width="9.140625" style="4" customWidth="1"/>
    <col min="2295" max="2297" width="8.85546875" style="4"/>
    <col min="2298" max="2298" width="0" style="4" hidden="1" customWidth="1"/>
    <col min="2299" max="2545" width="8.85546875" style="4"/>
    <col min="2546" max="2546" width="41.140625" style="4" customWidth="1"/>
    <col min="2547" max="2547" width="5.42578125" style="4" customWidth="1"/>
    <col min="2548" max="2550" width="9.140625" style="4" customWidth="1"/>
    <col min="2551" max="2553" width="8.85546875" style="4"/>
    <col min="2554" max="2554" width="0" style="4" hidden="1" customWidth="1"/>
    <col min="2555" max="2801" width="8.85546875" style="4"/>
    <col min="2802" max="2802" width="41.140625" style="4" customWidth="1"/>
    <col min="2803" max="2803" width="5.42578125" style="4" customWidth="1"/>
    <col min="2804" max="2806" width="9.140625" style="4" customWidth="1"/>
    <col min="2807" max="2809" width="8.85546875" style="4"/>
    <col min="2810" max="2810" width="0" style="4" hidden="1" customWidth="1"/>
    <col min="2811" max="3057" width="8.85546875" style="4"/>
    <col min="3058" max="3058" width="41.140625" style="4" customWidth="1"/>
    <col min="3059" max="3059" width="5.42578125" style="4" customWidth="1"/>
    <col min="3060" max="3062" width="9.140625" style="4" customWidth="1"/>
    <col min="3063" max="3065" width="8.85546875" style="4"/>
    <col min="3066" max="3066" width="0" style="4" hidden="1" customWidth="1"/>
    <col min="3067" max="3313" width="8.85546875" style="4"/>
    <col min="3314" max="3314" width="41.140625" style="4" customWidth="1"/>
    <col min="3315" max="3315" width="5.42578125" style="4" customWidth="1"/>
    <col min="3316" max="3318" width="9.140625" style="4" customWidth="1"/>
    <col min="3319" max="3321" width="8.85546875" style="4"/>
    <col min="3322" max="3322" width="0" style="4" hidden="1" customWidth="1"/>
    <col min="3323" max="3569" width="8.85546875" style="4"/>
    <col min="3570" max="3570" width="41.140625" style="4" customWidth="1"/>
    <col min="3571" max="3571" width="5.42578125" style="4" customWidth="1"/>
    <col min="3572" max="3574" width="9.140625" style="4" customWidth="1"/>
    <col min="3575" max="3577" width="8.85546875" style="4"/>
    <col min="3578" max="3578" width="0" style="4" hidden="1" customWidth="1"/>
    <col min="3579" max="3825" width="8.85546875" style="4"/>
    <col min="3826" max="3826" width="41.140625" style="4" customWidth="1"/>
    <col min="3827" max="3827" width="5.42578125" style="4" customWidth="1"/>
    <col min="3828" max="3830" width="9.140625" style="4" customWidth="1"/>
    <col min="3831" max="3833" width="8.85546875" style="4"/>
    <col min="3834" max="3834" width="0" style="4" hidden="1" customWidth="1"/>
    <col min="3835" max="4081" width="8.85546875" style="4"/>
    <col min="4082" max="4082" width="41.140625" style="4" customWidth="1"/>
    <col min="4083" max="4083" width="5.42578125" style="4" customWidth="1"/>
    <col min="4084" max="4086" width="9.140625" style="4" customWidth="1"/>
    <col min="4087" max="4089" width="8.85546875" style="4"/>
    <col min="4090" max="4090" width="0" style="4" hidden="1" customWidth="1"/>
    <col min="4091" max="4337" width="8.85546875" style="4"/>
    <col min="4338" max="4338" width="41.140625" style="4" customWidth="1"/>
    <col min="4339" max="4339" width="5.42578125" style="4" customWidth="1"/>
    <col min="4340" max="4342" width="9.140625" style="4" customWidth="1"/>
    <col min="4343" max="4345" width="8.85546875" style="4"/>
    <col min="4346" max="4346" width="0" style="4" hidden="1" customWidth="1"/>
    <col min="4347" max="4593" width="8.85546875" style="4"/>
    <col min="4594" max="4594" width="41.140625" style="4" customWidth="1"/>
    <col min="4595" max="4595" width="5.42578125" style="4" customWidth="1"/>
    <col min="4596" max="4598" width="9.140625" style="4" customWidth="1"/>
    <col min="4599" max="4601" width="8.85546875" style="4"/>
    <col min="4602" max="4602" width="0" style="4" hidden="1" customWidth="1"/>
    <col min="4603" max="4849" width="8.85546875" style="4"/>
    <col min="4850" max="4850" width="41.140625" style="4" customWidth="1"/>
    <col min="4851" max="4851" width="5.42578125" style="4" customWidth="1"/>
    <col min="4852" max="4854" width="9.140625" style="4" customWidth="1"/>
    <col min="4855" max="4857" width="8.85546875" style="4"/>
    <col min="4858" max="4858" width="0" style="4" hidden="1" customWidth="1"/>
    <col min="4859" max="5105" width="8.85546875" style="4"/>
    <col min="5106" max="5106" width="41.140625" style="4" customWidth="1"/>
    <col min="5107" max="5107" width="5.42578125" style="4" customWidth="1"/>
    <col min="5108" max="5110" width="9.140625" style="4" customWidth="1"/>
    <col min="5111" max="5113" width="8.85546875" style="4"/>
    <col min="5114" max="5114" width="0" style="4" hidden="1" customWidth="1"/>
    <col min="5115" max="5361" width="8.85546875" style="4"/>
    <col min="5362" max="5362" width="41.140625" style="4" customWidth="1"/>
    <col min="5363" max="5363" width="5.42578125" style="4" customWidth="1"/>
    <col min="5364" max="5366" width="9.140625" style="4" customWidth="1"/>
    <col min="5367" max="5369" width="8.85546875" style="4"/>
    <col min="5370" max="5370" width="0" style="4" hidden="1" customWidth="1"/>
    <col min="5371" max="5617" width="8.85546875" style="4"/>
    <col min="5618" max="5618" width="41.140625" style="4" customWidth="1"/>
    <col min="5619" max="5619" width="5.42578125" style="4" customWidth="1"/>
    <col min="5620" max="5622" width="9.140625" style="4" customWidth="1"/>
    <col min="5623" max="5625" width="8.85546875" style="4"/>
    <col min="5626" max="5626" width="0" style="4" hidden="1" customWidth="1"/>
    <col min="5627" max="5873" width="8.85546875" style="4"/>
    <col min="5874" max="5874" width="41.140625" style="4" customWidth="1"/>
    <col min="5875" max="5875" width="5.42578125" style="4" customWidth="1"/>
    <col min="5876" max="5878" width="9.140625" style="4" customWidth="1"/>
    <col min="5879" max="5881" width="8.85546875" style="4"/>
    <col min="5882" max="5882" width="0" style="4" hidden="1" customWidth="1"/>
    <col min="5883" max="6129" width="8.85546875" style="4"/>
    <col min="6130" max="6130" width="41.140625" style="4" customWidth="1"/>
    <col min="6131" max="6131" width="5.42578125" style="4" customWidth="1"/>
    <col min="6132" max="6134" width="9.140625" style="4" customWidth="1"/>
    <col min="6135" max="6137" width="8.85546875" style="4"/>
    <col min="6138" max="6138" width="0" style="4" hidden="1" customWidth="1"/>
    <col min="6139" max="6385" width="8.85546875" style="4"/>
    <col min="6386" max="6386" width="41.140625" style="4" customWidth="1"/>
    <col min="6387" max="6387" width="5.42578125" style="4" customWidth="1"/>
    <col min="6388" max="6390" width="9.140625" style="4" customWidth="1"/>
    <col min="6391" max="6393" width="8.85546875" style="4"/>
    <col min="6394" max="6394" width="0" style="4" hidden="1" customWidth="1"/>
    <col min="6395" max="6641" width="8.85546875" style="4"/>
    <col min="6642" max="6642" width="41.140625" style="4" customWidth="1"/>
    <col min="6643" max="6643" width="5.42578125" style="4" customWidth="1"/>
    <col min="6644" max="6646" width="9.140625" style="4" customWidth="1"/>
    <col min="6647" max="6649" width="8.85546875" style="4"/>
    <col min="6650" max="6650" width="0" style="4" hidden="1" customWidth="1"/>
    <col min="6651" max="6897" width="8.85546875" style="4"/>
    <col min="6898" max="6898" width="41.140625" style="4" customWidth="1"/>
    <col min="6899" max="6899" width="5.42578125" style="4" customWidth="1"/>
    <col min="6900" max="6902" width="9.140625" style="4" customWidth="1"/>
    <col min="6903" max="6905" width="8.85546875" style="4"/>
    <col min="6906" max="6906" width="0" style="4" hidden="1" customWidth="1"/>
    <col min="6907" max="7153" width="8.85546875" style="4"/>
    <col min="7154" max="7154" width="41.140625" style="4" customWidth="1"/>
    <col min="7155" max="7155" width="5.42578125" style="4" customWidth="1"/>
    <col min="7156" max="7158" width="9.140625" style="4" customWidth="1"/>
    <col min="7159" max="7161" width="8.85546875" style="4"/>
    <col min="7162" max="7162" width="0" style="4" hidden="1" customWidth="1"/>
    <col min="7163" max="7409" width="8.85546875" style="4"/>
    <col min="7410" max="7410" width="41.140625" style="4" customWidth="1"/>
    <col min="7411" max="7411" width="5.42578125" style="4" customWidth="1"/>
    <col min="7412" max="7414" width="9.140625" style="4" customWidth="1"/>
    <col min="7415" max="7417" width="8.85546875" style="4"/>
    <col min="7418" max="7418" width="0" style="4" hidden="1" customWidth="1"/>
    <col min="7419" max="7665" width="8.85546875" style="4"/>
    <col min="7666" max="7666" width="41.140625" style="4" customWidth="1"/>
    <col min="7667" max="7667" width="5.42578125" style="4" customWidth="1"/>
    <col min="7668" max="7670" width="9.140625" style="4" customWidth="1"/>
    <col min="7671" max="7673" width="8.85546875" style="4"/>
    <col min="7674" max="7674" width="0" style="4" hidden="1" customWidth="1"/>
    <col min="7675" max="7921" width="8.85546875" style="4"/>
    <col min="7922" max="7922" width="41.140625" style="4" customWidth="1"/>
    <col min="7923" max="7923" width="5.42578125" style="4" customWidth="1"/>
    <col min="7924" max="7926" width="9.140625" style="4" customWidth="1"/>
    <col min="7927" max="7929" width="8.85546875" style="4"/>
    <col min="7930" max="7930" width="0" style="4" hidden="1" customWidth="1"/>
    <col min="7931" max="8177" width="8.85546875" style="4"/>
    <col min="8178" max="8178" width="41.140625" style="4" customWidth="1"/>
    <col min="8179" max="8179" width="5.42578125" style="4" customWidth="1"/>
    <col min="8180" max="8182" width="9.140625" style="4" customWidth="1"/>
    <col min="8183" max="8185" width="8.85546875" style="4"/>
    <col min="8186" max="8186" width="0" style="4" hidden="1" customWidth="1"/>
    <col min="8187" max="8433" width="8.85546875" style="4"/>
    <col min="8434" max="8434" width="41.140625" style="4" customWidth="1"/>
    <col min="8435" max="8435" width="5.42578125" style="4" customWidth="1"/>
    <col min="8436" max="8438" width="9.140625" style="4" customWidth="1"/>
    <col min="8439" max="8441" width="8.85546875" style="4"/>
    <col min="8442" max="8442" width="0" style="4" hidden="1" customWidth="1"/>
    <col min="8443" max="8689" width="8.85546875" style="4"/>
    <col min="8690" max="8690" width="41.140625" style="4" customWidth="1"/>
    <col min="8691" max="8691" width="5.42578125" style="4" customWidth="1"/>
    <col min="8692" max="8694" width="9.140625" style="4" customWidth="1"/>
    <col min="8695" max="8697" width="8.85546875" style="4"/>
    <col min="8698" max="8698" width="0" style="4" hidden="1" customWidth="1"/>
    <col min="8699" max="8945" width="8.85546875" style="4"/>
    <col min="8946" max="8946" width="41.140625" style="4" customWidth="1"/>
    <col min="8947" max="8947" width="5.42578125" style="4" customWidth="1"/>
    <col min="8948" max="8950" width="9.140625" style="4" customWidth="1"/>
    <col min="8951" max="8953" width="8.85546875" style="4"/>
    <col min="8954" max="8954" width="0" style="4" hidden="1" customWidth="1"/>
    <col min="8955" max="9201" width="8.85546875" style="4"/>
    <col min="9202" max="9202" width="41.140625" style="4" customWidth="1"/>
    <col min="9203" max="9203" width="5.42578125" style="4" customWidth="1"/>
    <col min="9204" max="9206" width="9.140625" style="4" customWidth="1"/>
    <col min="9207" max="9209" width="8.85546875" style="4"/>
    <col min="9210" max="9210" width="0" style="4" hidden="1" customWidth="1"/>
    <col min="9211" max="9457" width="8.85546875" style="4"/>
    <col min="9458" max="9458" width="41.140625" style="4" customWidth="1"/>
    <col min="9459" max="9459" width="5.42578125" style="4" customWidth="1"/>
    <col min="9460" max="9462" width="9.140625" style="4" customWidth="1"/>
    <col min="9463" max="9465" width="8.85546875" style="4"/>
    <col min="9466" max="9466" width="0" style="4" hidden="1" customWidth="1"/>
    <col min="9467" max="9713" width="8.85546875" style="4"/>
    <col min="9714" max="9714" width="41.140625" style="4" customWidth="1"/>
    <col min="9715" max="9715" width="5.42578125" style="4" customWidth="1"/>
    <col min="9716" max="9718" width="9.140625" style="4" customWidth="1"/>
    <col min="9719" max="9721" width="8.85546875" style="4"/>
    <col min="9722" max="9722" width="0" style="4" hidden="1" customWidth="1"/>
    <col min="9723" max="9969" width="8.85546875" style="4"/>
    <col min="9970" max="9970" width="41.140625" style="4" customWidth="1"/>
    <col min="9971" max="9971" width="5.42578125" style="4" customWidth="1"/>
    <col min="9972" max="9974" width="9.140625" style="4" customWidth="1"/>
    <col min="9975" max="9977" width="8.85546875" style="4"/>
    <col min="9978" max="9978" width="0" style="4" hidden="1" customWidth="1"/>
    <col min="9979" max="10225" width="8.85546875" style="4"/>
    <col min="10226" max="10226" width="41.140625" style="4" customWidth="1"/>
    <col min="10227" max="10227" width="5.42578125" style="4" customWidth="1"/>
    <col min="10228" max="10230" width="9.140625" style="4" customWidth="1"/>
    <col min="10231" max="10233" width="8.85546875" style="4"/>
    <col min="10234" max="10234" width="0" style="4" hidden="1" customWidth="1"/>
    <col min="10235" max="10481" width="8.85546875" style="4"/>
    <col min="10482" max="10482" width="41.140625" style="4" customWidth="1"/>
    <col min="10483" max="10483" width="5.42578125" style="4" customWidth="1"/>
    <col min="10484" max="10486" width="9.140625" style="4" customWidth="1"/>
    <col min="10487" max="10489" width="8.85546875" style="4"/>
    <col min="10490" max="10490" width="0" style="4" hidden="1" customWidth="1"/>
    <col min="10491" max="10737" width="8.85546875" style="4"/>
    <col min="10738" max="10738" width="41.140625" style="4" customWidth="1"/>
    <col min="10739" max="10739" width="5.42578125" style="4" customWidth="1"/>
    <col min="10740" max="10742" width="9.140625" style="4" customWidth="1"/>
    <col min="10743" max="10745" width="8.85546875" style="4"/>
    <col min="10746" max="10746" width="0" style="4" hidden="1" customWidth="1"/>
    <col min="10747" max="10993" width="8.85546875" style="4"/>
    <col min="10994" max="10994" width="41.140625" style="4" customWidth="1"/>
    <col min="10995" max="10995" width="5.42578125" style="4" customWidth="1"/>
    <col min="10996" max="10998" width="9.140625" style="4" customWidth="1"/>
    <col min="10999" max="11001" width="8.85546875" style="4"/>
    <col min="11002" max="11002" width="0" style="4" hidden="1" customWidth="1"/>
    <col min="11003" max="11249" width="8.85546875" style="4"/>
    <col min="11250" max="11250" width="41.140625" style="4" customWidth="1"/>
    <col min="11251" max="11251" width="5.42578125" style="4" customWidth="1"/>
    <col min="11252" max="11254" width="9.140625" style="4" customWidth="1"/>
    <col min="11255" max="11257" width="8.85546875" style="4"/>
    <col min="11258" max="11258" width="0" style="4" hidden="1" customWidth="1"/>
    <col min="11259" max="11505" width="8.85546875" style="4"/>
    <col min="11506" max="11506" width="41.140625" style="4" customWidth="1"/>
    <col min="11507" max="11507" width="5.42578125" style="4" customWidth="1"/>
    <col min="11508" max="11510" width="9.140625" style="4" customWidth="1"/>
    <col min="11511" max="11513" width="8.85546875" style="4"/>
    <col min="11514" max="11514" width="0" style="4" hidden="1" customWidth="1"/>
    <col min="11515" max="11761" width="8.85546875" style="4"/>
    <col min="11762" max="11762" width="41.140625" style="4" customWidth="1"/>
    <col min="11763" max="11763" width="5.42578125" style="4" customWidth="1"/>
    <col min="11764" max="11766" width="9.140625" style="4" customWidth="1"/>
    <col min="11767" max="11769" width="8.85546875" style="4"/>
    <col min="11770" max="11770" width="0" style="4" hidden="1" customWidth="1"/>
    <col min="11771" max="12017" width="8.85546875" style="4"/>
    <col min="12018" max="12018" width="41.140625" style="4" customWidth="1"/>
    <col min="12019" max="12019" width="5.42578125" style="4" customWidth="1"/>
    <col min="12020" max="12022" width="9.140625" style="4" customWidth="1"/>
    <col min="12023" max="12025" width="8.85546875" style="4"/>
    <col min="12026" max="12026" width="0" style="4" hidden="1" customWidth="1"/>
    <col min="12027" max="12273" width="8.85546875" style="4"/>
    <col min="12274" max="12274" width="41.140625" style="4" customWidth="1"/>
    <col min="12275" max="12275" width="5.42578125" style="4" customWidth="1"/>
    <col min="12276" max="12278" width="9.140625" style="4" customWidth="1"/>
    <col min="12279" max="12281" width="8.85546875" style="4"/>
    <col min="12282" max="12282" width="0" style="4" hidden="1" customWidth="1"/>
    <col min="12283" max="12529" width="8.85546875" style="4"/>
    <col min="12530" max="12530" width="41.140625" style="4" customWidth="1"/>
    <col min="12531" max="12531" width="5.42578125" style="4" customWidth="1"/>
    <col min="12532" max="12534" width="9.140625" style="4" customWidth="1"/>
    <col min="12535" max="12537" width="8.85546875" style="4"/>
    <col min="12538" max="12538" width="0" style="4" hidden="1" customWidth="1"/>
    <col min="12539" max="12785" width="8.85546875" style="4"/>
    <col min="12786" max="12786" width="41.140625" style="4" customWidth="1"/>
    <col min="12787" max="12787" width="5.42578125" style="4" customWidth="1"/>
    <col min="12788" max="12790" width="9.140625" style="4" customWidth="1"/>
    <col min="12791" max="12793" width="8.85546875" style="4"/>
    <col min="12794" max="12794" width="0" style="4" hidden="1" customWidth="1"/>
    <col min="12795" max="13041" width="8.85546875" style="4"/>
    <col min="13042" max="13042" width="41.140625" style="4" customWidth="1"/>
    <col min="13043" max="13043" width="5.42578125" style="4" customWidth="1"/>
    <col min="13044" max="13046" width="9.140625" style="4" customWidth="1"/>
    <col min="13047" max="13049" width="8.85546875" style="4"/>
    <col min="13050" max="13050" width="0" style="4" hidden="1" customWidth="1"/>
    <col min="13051" max="13297" width="8.85546875" style="4"/>
    <col min="13298" max="13298" width="41.140625" style="4" customWidth="1"/>
    <col min="13299" max="13299" width="5.42578125" style="4" customWidth="1"/>
    <col min="13300" max="13302" width="9.140625" style="4" customWidth="1"/>
    <col min="13303" max="13305" width="8.85546875" style="4"/>
    <col min="13306" max="13306" width="0" style="4" hidden="1" customWidth="1"/>
    <col min="13307" max="13553" width="8.85546875" style="4"/>
    <col min="13554" max="13554" width="41.140625" style="4" customWidth="1"/>
    <col min="13555" max="13555" width="5.42578125" style="4" customWidth="1"/>
    <col min="13556" max="13558" width="9.140625" style="4" customWidth="1"/>
    <col min="13559" max="13561" width="8.85546875" style="4"/>
    <col min="13562" max="13562" width="0" style="4" hidden="1" customWidth="1"/>
    <col min="13563" max="13809" width="8.85546875" style="4"/>
    <col min="13810" max="13810" width="41.140625" style="4" customWidth="1"/>
    <col min="13811" max="13811" width="5.42578125" style="4" customWidth="1"/>
    <col min="13812" max="13814" width="9.140625" style="4" customWidth="1"/>
    <col min="13815" max="13817" width="8.85546875" style="4"/>
    <col min="13818" max="13818" width="0" style="4" hidden="1" customWidth="1"/>
    <col min="13819" max="14065" width="8.85546875" style="4"/>
    <col min="14066" max="14066" width="41.140625" style="4" customWidth="1"/>
    <col min="14067" max="14067" width="5.42578125" style="4" customWidth="1"/>
    <col min="14068" max="14070" width="9.140625" style="4" customWidth="1"/>
    <col min="14071" max="14073" width="8.85546875" style="4"/>
    <col min="14074" max="14074" width="0" style="4" hidden="1" customWidth="1"/>
    <col min="14075" max="14321" width="8.85546875" style="4"/>
    <col min="14322" max="14322" width="41.140625" style="4" customWidth="1"/>
    <col min="14323" max="14323" width="5.42578125" style="4" customWidth="1"/>
    <col min="14324" max="14326" width="9.140625" style="4" customWidth="1"/>
    <col min="14327" max="14329" width="8.85546875" style="4"/>
    <col min="14330" max="14330" width="0" style="4" hidden="1" customWidth="1"/>
    <col min="14331" max="14577" width="8.85546875" style="4"/>
    <col min="14578" max="14578" width="41.140625" style="4" customWidth="1"/>
    <col min="14579" max="14579" width="5.42578125" style="4" customWidth="1"/>
    <col min="14580" max="14582" width="9.140625" style="4" customWidth="1"/>
    <col min="14583" max="14585" width="8.85546875" style="4"/>
    <col min="14586" max="14586" width="0" style="4" hidden="1" customWidth="1"/>
    <col min="14587" max="14833" width="8.85546875" style="4"/>
    <col min="14834" max="14834" width="41.140625" style="4" customWidth="1"/>
    <col min="14835" max="14835" width="5.42578125" style="4" customWidth="1"/>
    <col min="14836" max="14838" width="9.140625" style="4" customWidth="1"/>
    <col min="14839" max="14841" width="8.85546875" style="4"/>
    <col min="14842" max="14842" width="0" style="4" hidden="1" customWidth="1"/>
    <col min="14843" max="15089" width="8.85546875" style="4"/>
    <col min="15090" max="15090" width="41.140625" style="4" customWidth="1"/>
    <col min="15091" max="15091" width="5.42578125" style="4" customWidth="1"/>
    <col min="15092" max="15094" width="9.140625" style="4" customWidth="1"/>
    <col min="15095" max="15097" width="8.85546875" style="4"/>
    <col min="15098" max="15098" width="0" style="4" hidden="1" customWidth="1"/>
    <col min="15099" max="15345" width="8.85546875" style="4"/>
    <col min="15346" max="15346" width="41.140625" style="4" customWidth="1"/>
    <col min="15347" max="15347" width="5.42578125" style="4" customWidth="1"/>
    <col min="15348" max="15350" width="9.140625" style="4" customWidth="1"/>
    <col min="15351" max="15353" width="8.85546875" style="4"/>
    <col min="15354" max="15354" width="0" style="4" hidden="1" customWidth="1"/>
    <col min="15355" max="15601" width="8.85546875" style="4"/>
    <col min="15602" max="15602" width="41.140625" style="4" customWidth="1"/>
    <col min="15603" max="15603" width="5.42578125" style="4" customWidth="1"/>
    <col min="15604" max="15606" width="9.140625" style="4" customWidth="1"/>
    <col min="15607" max="15609" width="8.85546875" style="4"/>
    <col min="15610" max="15610" width="0" style="4" hidden="1" customWidth="1"/>
    <col min="15611" max="15857" width="8.85546875" style="4"/>
    <col min="15858" max="15858" width="41.140625" style="4" customWidth="1"/>
    <col min="15859" max="15859" width="5.42578125" style="4" customWidth="1"/>
    <col min="15860" max="15862" width="9.140625" style="4" customWidth="1"/>
    <col min="15863" max="15865" width="8.85546875" style="4"/>
    <col min="15866" max="15866" width="0" style="4" hidden="1" customWidth="1"/>
    <col min="15867" max="16113" width="8.85546875" style="4"/>
    <col min="16114" max="16114" width="41.140625" style="4" customWidth="1"/>
    <col min="16115" max="16115" width="5.42578125" style="4" customWidth="1"/>
    <col min="16116" max="16118" width="9.140625" style="4" customWidth="1"/>
    <col min="16119" max="16121" width="8.85546875" style="4"/>
    <col min="16122" max="16122" width="0" style="4" hidden="1" customWidth="1"/>
    <col min="16123" max="16384" width="8.85546875" style="4"/>
  </cols>
  <sheetData>
    <row r="1" spans="1:29" ht="13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14"/>
      <c r="U1" s="9"/>
    </row>
    <row r="2" spans="1:29" s="2" customFormat="1" ht="13.5" customHeight="1" x14ac:dyDescent="0.2">
      <c r="A2" s="122"/>
      <c r="B2" s="123" t="s">
        <v>151</v>
      </c>
      <c r="C2" s="123" t="s">
        <v>150</v>
      </c>
      <c r="D2" s="123" t="s">
        <v>149</v>
      </c>
      <c r="E2" s="123" t="s">
        <v>148</v>
      </c>
      <c r="F2" s="123" t="s">
        <v>147</v>
      </c>
      <c r="G2" s="123" t="s">
        <v>157</v>
      </c>
      <c r="H2" s="123" t="s">
        <v>153</v>
      </c>
      <c r="I2" s="123" t="s">
        <v>154</v>
      </c>
      <c r="J2" s="123" t="s">
        <v>155</v>
      </c>
      <c r="K2" s="123" t="s">
        <v>156</v>
      </c>
      <c r="L2" s="123" t="s">
        <v>141</v>
      </c>
      <c r="M2" s="123" t="s">
        <v>140</v>
      </c>
      <c r="N2" s="123" t="s">
        <v>123</v>
      </c>
      <c r="O2" s="123" t="s">
        <v>124</v>
      </c>
      <c r="P2" s="123" t="s">
        <v>125</v>
      </c>
      <c r="Q2" s="123" t="s">
        <v>126</v>
      </c>
      <c r="R2" s="123" t="s">
        <v>127</v>
      </c>
      <c r="S2" s="123" t="s">
        <v>128</v>
      </c>
      <c r="T2" s="123" t="s">
        <v>129</v>
      </c>
      <c r="U2" s="123" t="s">
        <v>130</v>
      </c>
      <c r="V2" s="123" t="s">
        <v>114</v>
      </c>
      <c r="W2" s="123" t="s">
        <v>131</v>
      </c>
      <c r="X2" s="123" t="s">
        <v>138</v>
      </c>
      <c r="Y2" s="123" t="s">
        <v>158</v>
      </c>
      <c r="Z2" s="123" t="s">
        <v>159</v>
      </c>
      <c r="AA2" s="123" t="s">
        <v>164</v>
      </c>
      <c r="AB2" s="123" t="s">
        <v>167</v>
      </c>
      <c r="AC2" s="123" t="s">
        <v>173</v>
      </c>
    </row>
    <row r="3" spans="1:29" s="2" customFormat="1" ht="13.5" customHeight="1" x14ac:dyDescent="0.2">
      <c r="A3" s="18" t="s">
        <v>117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</row>
    <row r="4" spans="1:29" s="1" customFormat="1" ht="13.5" customHeight="1" x14ac:dyDescent="0.2">
      <c r="A4" s="18" t="s">
        <v>38</v>
      </c>
      <c r="B4" s="19">
        <v>214.4</v>
      </c>
      <c r="C4" s="19">
        <v>172.5</v>
      </c>
      <c r="D4" s="19">
        <v>159.6</v>
      </c>
      <c r="E4" s="19">
        <v>298.2</v>
      </c>
      <c r="F4" s="19">
        <f>SUM(B4:E4)</f>
        <v>844.7</v>
      </c>
      <c r="G4" s="19">
        <f>159.6+0.2</f>
        <v>159.79999999999998</v>
      </c>
      <c r="H4" s="19">
        <f>163.4+0.8</f>
        <v>164.20000000000002</v>
      </c>
      <c r="I4" s="19">
        <f>152.7+0.9</f>
        <v>153.6</v>
      </c>
      <c r="J4" s="19">
        <f>150.3+1.1</f>
        <v>151.4</v>
      </c>
      <c r="K4" s="19">
        <f>626+3</f>
        <v>629</v>
      </c>
      <c r="L4" s="19">
        <f>192.5+1.7</f>
        <v>194.2</v>
      </c>
      <c r="M4" s="19">
        <f>200.2+2.5</f>
        <v>202.7</v>
      </c>
      <c r="N4" s="19">
        <f t="shared" ref="N4" si="0">222.3-8.7+5.1</f>
        <v>218.70000000000002</v>
      </c>
      <c r="O4" s="19">
        <f>255.4-30.5+21.7</f>
        <v>246.6</v>
      </c>
      <c r="P4" s="19">
        <f>861.5+0.7</f>
        <v>862.2</v>
      </c>
      <c r="Q4" s="19">
        <f>296.4-84+18.1</f>
        <v>230.49999999999997</v>
      </c>
      <c r="R4" s="19">
        <f>286-56.2+21.4</f>
        <v>251.20000000000002</v>
      </c>
      <c r="S4" s="19">
        <f>267.2-49.5+20</f>
        <v>237.7</v>
      </c>
      <c r="T4" s="19">
        <f>303.4-92.7+17.3</f>
        <v>228</v>
      </c>
      <c r="U4" s="19">
        <f>SUM(Q4:T4)</f>
        <v>947.4</v>
      </c>
      <c r="V4" s="19">
        <f>237.7+20</f>
        <v>257.7</v>
      </c>
      <c r="W4" s="19">
        <f>213.2-2.2</f>
        <v>211</v>
      </c>
      <c r="X4" s="19">
        <v>195.1</v>
      </c>
      <c r="Y4" s="19">
        <f>226.7-4.2</f>
        <v>222.5</v>
      </c>
      <c r="Z4" s="19">
        <f>SUM(V4:Y4)</f>
        <v>886.3</v>
      </c>
      <c r="AA4" s="19">
        <v>218.9</v>
      </c>
      <c r="AB4" s="19">
        <v>207.8</v>
      </c>
      <c r="AC4" s="20">
        <v>199.6</v>
      </c>
    </row>
    <row r="5" spans="1:29" s="3" customFormat="1" ht="13.5" customHeight="1" x14ac:dyDescent="0.2">
      <c r="A5" s="21" t="s">
        <v>39</v>
      </c>
      <c r="B5" s="19">
        <v>-117.1</v>
      </c>
      <c r="C5" s="19">
        <v>-87.9</v>
      </c>
      <c r="D5" s="19">
        <v>-83</v>
      </c>
      <c r="E5" s="19">
        <v>-133.9</v>
      </c>
      <c r="F5" s="19">
        <f>SUM(B5:E5)</f>
        <v>-421.9</v>
      </c>
      <c r="G5" s="22">
        <f>-97.6-0.2-0.2</f>
        <v>-98</v>
      </c>
      <c r="H5" s="22">
        <f>-45.3+0.5-0.8</f>
        <v>-45.599999999999994</v>
      </c>
      <c r="I5" s="22">
        <f>-70.5+0.5-0.9</f>
        <v>-70.900000000000006</v>
      </c>
      <c r="J5" s="22">
        <f>-77.3-0.4+0.2-1.1</f>
        <v>-78.599999999999994</v>
      </c>
      <c r="K5" s="22">
        <f>-290.7+0.6-3</f>
        <v>-293.09999999999997</v>
      </c>
      <c r="L5" s="23">
        <f>-84.5+0.3-1.7</f>
        <v>-85.9</v>
      </c>
      <c r="M5" s="23">
        <f>-95.1-0.2-2.5</f>
        <v>-97.8</v>
      </c>
      <c r="N5" s="23">
        <f t="shared" ref="N5" si="1">-96+2-5.1</f>
        <v>-99.1</v>
      </c>
      <c r="O5" s="19">
        <f>-107+15.9-21.7</f>
        <v>-112.8</v>
      </c>
      <c r="P5" s="19">
        <f>-394.9-0.7</f>
        <v>-395.59999999999997</v>
      </c>
      <c r="Q5" s="19">
        <f>-110.1+29.4-18.1+4.8</f>
        <v>-93.999999999999986</v>
      </c>
      <c r="R5" s="19">
        <f>-94.8+13.5-21.4+6.9</f>
        <v>-95.799999999999983</v>
      </c>
      <c r="S5" s="19">
        <f>-105.2+14.5-20+5.9</f>
        <v>-104.8</v>
      </c>
      <c r="T5" s="19">
        <f>-133.7+35.2-17.3+5.9</f>
        <v>-109.89999999999998</v>
      </c>
      <c r="U5" s="19">
        <f>SUM(Q5:T5)</f>
        <v>-404.49999999999994</v>
      </c>
      <c r="V5" s="19">
        <v>-127.8</v>
      </c>
      <c r="W5" s="19">
        <v>-94.8</v>
      </c>
      <c r="X5" s="19">
        <v>-97</v>
      </c>
      <c r="Y5" s="19">
        <v>-130.6</v>
      </c>
      <c r="Z5" s="19">
        <f>SUM(V5:Y5)</f>
        <v>-450.20000000000005</v>
      </c>
      <c r="AA5" s="19">
        <v>-108.1</v>
      </c>
      <c r="AB5" s="19">
        <v>-116.7</v>
      </c>
      <c r="AC5" s="20">
        <v>-102.5</v>
      </c>
    </row>
    <row r="6" spans="1:29" s="5" customFormat="1" ht="13.5" customHeight="1" x14ac:dyDescent="0.2">
      <c r="A6" s="24" t="s">
        <v>67</v>
      </c>
      <c r="B6" s="25">
        <f t="shared" ref="B6" si="2">SUM(B4:B5)</f>
        <v>97.300000000000011</v>
      </c>
      <c r="C6" s="25">
        <f t="shared" ref="C6:D6" si="3">SUM(C4:C5)</f>
        <v>84.6</v>
      </c>
      <c r="D6" s="25">
        <f t="shared" si="3"/>
        <v>76.599999999999994</v>
      </c>
      <c r="E6" s="25">
        <f t="shared" ref="E6:F6" si="4">SUM(E4:E5)</f>
        <v>164.29999999999998</v>
      </c>
      <c r="F6" s="25">
        <f t="shared" si="4"/>
        <v>422.80000000000007</v>
      </c>
      <c r="G6" s="25">
        <f t="shared" ref="G6:N6" si="5">SUM(G4:G5)</f>
        <v>61.799999999999983</v>
      </c>
      <c r="H6" s="25">
        <f t="shared" si="5"/>
        <v>118.60000000000002</v>
      </c>
      <c r="I6" s="25">
        <f t="shared" si="5"/>
        <v>82.699999999999989</v>
      </c>
      <c r="J6" s="25">
        <f t="shared" si="5"/>
        <v>72.800000000000011</v>
      </c>
      <c r="K6" s="25">
        <f t="shared" si="5"/>
        <v>335.90000000000003</v>
      </c>
      <c r="L6" s="25">
        <f t="shared" si="5"/>
        <v>108.29999999999998</v>
      </c>
      <c r="M6" s="25">
        <f t="shared" si="5"/>
        <v>104.89999999999999</v>
      </c>
      <c r="N6" s="25">
        <f t="shared" si="5"/>
        <v>119.60000000000002</v>
      </c>
      <c r="O6" s="25">
        <f t="shared" ref="O6:V6" si="6">SUM(O4:O5)</f>
        <v>133.80000000000001</v>
      </c>
      <c r="P6" s="25">
        <f t="shared" si="6"/>
        <v>466.60000000000008</v>
      </c>
      <c r="Q6" s="25">
        <f t="shared" si="6"/>
        <v>136.5</v>
      </c>
      <c r="R6" s="25">
        <f t="shared" si="6"/>
        <v>155.40000000000003</v>
      </c>
      <c r="S6" s="25">
        <f t="shared" si="6"/>
        <v>132.89999999999998</v>
      </c>
      <c r="T6" s="25">
        <f t="shared" si="6"/>
        <v>118.10000000000002</v>
      </c>
      <c r="U6" s="25">
        <f t="shared" si="6"/>
        <v>542.90000000000009</v>
      </c>
      <c r="V6" s="25">
        <f t="shared" si="6"/>
        <v>129.89999999999998</v>
      </c>
      <c r="W6" s="25">
        <f t="shared" ref="W6:X6" si="7">SUM(W4:W5)</f>
        <v>116.2</v>
      </c>
      <c r="X6" s="25">
        <f t="shared" si="7"/>
        <v>98.1</v>
      </c>
      <c r="Y6" s="25">
        <f t="shared" ref="Y6:Z6" si="8">SUM(Y4:Y5)</f>
        <v>91.9</v>
      </c>
      <c r="Z6" s="25">
        <f t="shared" si="8"/>
        <v>436.09999999999991</v>
      </c>
      <c r="AA6" s="25">
        <f t="shared" ref="AA6:AB6" si="9">SUM(AA4:AA5)</f>
        <v>110.80000000000001</v>
      </c>
      <c r="AB6" s="25">
        <f t="shared" si="9"/>
        <v>91.100000000000009</v>
      </c>
      <c r="AC6" s="26">
        <f t="shared" ref="AC6" si="10">SUM(AC4:AC5)</f>
        <v>97.1</v>
      </c>
    </row>
    <row r="7" spans="1:29" ht="13.5" customHeight="1" x14ac:dyDescent="0.2">
      <c r="A7" s="27"/>
      <c r="B7" s="29" t="s">
        <v>7</v>
      </c>
      <c r="C7" s="29" t="s">
        <v>7</v>
      </c>
      <c r="D7" s="29" t="s">
        <v>7</v>
      </c>
      <c r="E7" s="29" t="s">
        <v>7</v>
      </c>
      <c r="F7" s="29" t="s">
        <v>7</v>
      </c>
      <c r="G7" s="29" t="s">
        <v>7</v>
      </c>
      <c r="H7" s="29" t="s">
        <v>7</v>
      </c>
      <c r="I7" s="29" t="s">
        <v>7</v>
      </c>
      <c r="J7" s="29" t="s">
        <v>7</v>
      </c>
      <c r="K7" s="29" t="s">
        <v>7</v>
      </c>
      <c r="L7" s="29" t="s">
        <v>7</v>
      </c>
      <c r="M7" s="29" t="s">
        <v>7</v>
      </c>
      <c r="N7" s="29" t="s">
        <v>7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30"/>
    </row>
    <row r="8" spans="1:29" ht="13.5" customHeight="1" x14ac:dyDescent="0.2">
      <c r="A8" s="31" t="s">
        <v>40</v>
      </c>
      <c r="B8" s="33">
        <v>-59.7</v>
      </c>
      <c r="C8" s="33">
        <v>-53.7</v>
      </c>
      <c r="D8" s="33">
        <v>-55.3</v>
      </c>
      <c r="E8" s="33">
        <v>-55.9</v>
      </c>
      <c r="F8" s="19">
        <f t="shared" ref="F8:F11" si="11">SUM(B8:E8)</f>
        <v>-224.6</v>
      </c>
      <c r="G8" s="33">
        <v>-56.6</v>
      </c>
      <c r="H8" s="33">
        <v>-57.1</v>
      </c>
      <c r="I8" s="33">
        <v>-54.6</v>
      </c>
      <c r="J8" s="33">
        <v>-57.6</v>
      </c>
      <c r="K8" s="33">
        <v>-225.9</v>
      </c>
      <c r="L8" s="33">
        <v>-76.5</v>
      </c>
      <c r="M8" s="33">
        <v>-82.7</v>
      </c>
      <c r="N8" s="33">
        <f t="shared" ref="N8" si="12">-86.2+1.8+0.6</f>
        <v>-83.800000000000011</v>
      </c>
      <c r="O8" s="19">
        <f>-91.1+6.1+1.4</f>
        <v>-83.6</v>
      </c>
      <c r="P8" s="19">
        <v>-326.60000000000002</v>
      </c>
      <c r="Q8" s="19">
        <f>-101.8-1.6+19.2-1.4</f>
        <v>-85.6</v>
      </c>
      <c r="R8" s="19">
        <f>-100.6+20.3-6.5</f>
        <v>-86.8</v>
      </c>
      <c r="S8" s="19">
        <f>-96.1+13.8-4.3</f>
        <v>-86.6</v>
      </c>
      <c r="T8" s="19">
        <f>-110.4+21.4-6-0.2</f>
        <v>-95.2</v>
      </c>
      <c r="U8" s="19">
        <f>SUM(Q8:T8)</f>
        <v>-354.2</v>
      </c>
      <c r="V8" s="19">
        <v>-95</v>
      </c>
      <c r="W8" s="19">
        <v>-62.9</v>
      </c>
      <c r="X8" s="19">
        <v>-62.7</v>
      </c>
      <c r="Y8" s="19">
        <v>-61.9</v>
      </c>
      <c r="Z8" s="19">
        <f t="shared" ref="Z8:Z11" si="13">SUM(V8:Y8)</f>
        <v>-282.5</v>
      </c>
      <c r="AA8" s="19">
        <v>-64.8</v>
      </c>
      <c r="AB8" s="19">
        <v>-66.2</v>
      </c>
      <c r="AC8" s="20">
        <v>-67.2</v>
      </c>
    </row>
    <row r="9" spans="1:29" ht="13.5" customHeight="1" x14ac:dyDescent="0.2">
      <c r="A9" s="31" t="s">
        <v>41</v>
      </c>
      <c r="B9" s="33">
        <v>-0.7</v>
      </c>
      <c r="C9" s="33">
        <v>-0.7</v>
      </c>
      <c r="D9" s="33">
        <v>-0.7</v>
      </c>
      <c r="E9" s="33">
        <v>-0.7</v>
      </c>
      <c r="F9" s="19">
        <f t="shared" si="11"/>
        <v>-2.8</v>
      </c>
      <c r="G9" s="33">
        <v>-0.7</v>
      </c>
      <c r="H9" s="33">
        <v>-0.7</v>
      </c>
      <c r="I9" s="33">
        <v>-0.6</v>
      </c>
      <c r="J9" s="33">
        <v>-0.7</v>
      </c>
      <c r="K9" s="33">
        <v>-2.7</v>
      </c>
      <c r="L9" s="33">
        <v>-0.5</v>
      </c>
      <c r="M9" s="33">
        <v>-0.5</v>
      </c>
      <c r="N9" s="33">
        <v>-0.5</v>
      </c>
      <c r="O9" s="19">
        <v>-0.6</v>
      </c>
      <c r="P9" s="19">
        <v>-2.1</v>
      </c>
      <c r="Q9" s="19">
        <v>-0.7</v>
      </c>
      <c r="R9" s="19">
        <v>-0.5</v>
      </c>
      <c r="S9" s="19">
        <v>-0.2</v>
      </c>
      <c r="T9" s="19">
        <v>-0.4</v>
      </c>
      <c r="U9" s="19">
        <f t="shared" ref="U9:U11" si="14">SUM(Q9:T9)</f>
        <v>-1.7999999999999998</v>
      </c>
      <c r="V9" s="19">
        <v>-0.5</v>
      </c>
      <c r="W9" s="19">
        <v>-0.3</v>
      </c>
      <c r="X9" s="19">
        <v>-0.3</v>
      </c>
      <c r="Y9" s="19">
        <v>-0.4</v>
      </c>
      <c r="Z9" s="19">
        <f t="shared" si="13"/>
        <v>-1.5</v>
      </c>
      <c r="AA9" s="19">
        <v>-0.4</v>
      </c>
      <c r="AB9" s="19">
        <v>-1.8</v>
      </c>
      <c r="AC9" s="20">
        <v>-1.6</v>
      </c>
    </row>
    <row r="10" spans="1:29" ht="13.5" customHeight="1" x14ac:dyDescent="0.2">
      <c r="A10" s="31" t="s">
        <v>65</v>
      </c>
      <c r="B10" s="35">
        <v>-0.8</v>
      </c>
      <c r="C10" s="35">
        <v>-5.3</v>
      </c>
      <c r="D10" s="35">
        <v>-1.7</v>
      </c>
      <c r="E10" s="35">
        <v>-223.2</v>
      </c>
      <c r="F10" s="19">
        <f t="shared" si="11"/>
        <v>-231</v>
      </c>
      <c r="G10" s="35">
        <v>0</v>
      </c>
      <c r="H10" s="35">
        <v>-27.4</v>
      </c>
      <c r="I10" s="35">
        <v>0</v>
      </c>
      <c r="J10" s="35">
        <v>0</v>
      </c>
      <c r="K10" s="35">
        <v>-27.4</v>
      </c>
      <c r="L10" s="35">
        <v>0</v>
      </c>
      <c r="M10" s="35">
        <v>-0.1</v>
      </c>
      <c r="N10" s="35">
        <v>0</v>
      </c>
      <c r="O10" s="34">
        <v>0</v>
      </c>
      <c r="P10" s="19">
        <v>-0.1</v>
      </c>
      <c r="Q10" s="34">
        <v>0</v>
      </c>
      <c r="R10" s="34">
        <v>0</v>
      </c>
      <c r="S10" s="34">
        <v>0</v>
      </c>
      <c r="T10" s="34">
        <v>0</v>
      </c>
      <c r="U10" s="34">
        <f t="shared" si="14"/>
        <v>0</v>
      </c>
      <c r="V10" s="34">
        <f>-218.8-14.3</f>
        <v>-233.10000000000002</v>
      </c>
      <c r="W10" s="34">
        <v>0</v>
      </c>
      <c r="X10" s="34">
        <v>0</v>
      </c>
      <c r="Y10" s="34">
        <v>-59.6</v>
      </c>
      <c r="Z10" s="19">
        <f t="shared" si="13"/>
        <v>-292.70000000000005</v>
      </c>
      <c r="AA10" s="19">
        <v>-4.2</v>
      </c>
      <c r="AB10" s="19">
        <v>0</v>
      </c>
      <c r="AC10" s="36">
        <v>0</v>
      </c>
    </row>
    <row r="11" spans="1:29" ht="13.5" customHeight="1" x14ac:dyDescent="0.2">
      <c r="A11" s="31" t="s">
        <v>84</v>
      </c>
      <c r="B11" s="34">
        <v>0</v>
      </c>
      <c r="C11" s="34">
        <v>0</v>
      </c>
      <c r="D11" s="34">
        <v>0</v>
      </c>
      <c r="E11" s="34">
        <v>0</v>
      </c>
      <c r="F11" s="34">
        <f t="shared" si="11"/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7</v>
      </c>
      <c r="P11" s="19">
        <v>7</v>
      </c>
      <c r="Q11" s="34">
        <f>0.1-0.3</f>
        <v>-0.19999999999999998</v>
      </c>
      <c r="R11" s="34">
        <v>0</v>
      </c>
      <c r="S11" s="34">
        <v>-0.1</v>
      </c>
      <c r="T11" s="34">
        <v>0</v>
      </c>
      <c r="U11" s="19">
        <f t="shared" si="14"/>
        <v>-0.3</v>
      </c>
      <c r="V11" s="34">
        <v>0</v>
      </c>
      <c r="W11" s="34">
        <v>0</v>
      </c>
      <c r="X11" s="34">
        <v>0</v>
      </c>
      <c r="Y11" s="34">
        <v>0</v>
      </c>
      <c r="Z11" s="34">
        <f t="shared" si="13"/>
        <v>0</v>
      </c>
      <c r="AA11" s="34">
        <v>0</v>
      </c>
      <c r="AB11" s="34">
        <v>0.1</v>
      </c>
      <c r="AC11" s="36">
        <v>0</v>
      </c>
    </row>
    <row r="12" spans="1:29" ht="13.5" customHeight="1" x14ac:dyDescent="0.2">
      <c r="A12" s="24" t="s">
        <v>68</v>
      </c>
      <c r="B12" s="25">
        <f t="shared" ref="B12" si="15">SUM(B6:B11)</f>
        <v>36.100000000000009</v>
      </c>
      <c r="C12" s="25">
        <f t="shared" ref="C12:D12" si="16">SUM(C6:C11)</f>
        <v>24.899999999999991</v>
      </c>
      <c r="D12" s="25">
        <f t="shared" si="16"/>
        <v>18.899999999999999</v>
      </c>
      <c r="E12" s="25">
        <f t="shared" ref="E12:F12" si="17">SUM(E6:E11)</f>
        <v>-115.50000000000001</v>
      </c>
      <c r="F12" s="25">
        <f t="shared" si="17"/>
        <v>-35.599999999999937</v>
      </c>
      <c r="G12" s="25">
        <f t="shared" ref="G12:N12" si="18">SUM(G6:G11)</f>
        <v>4.4999999999999813</v>
      </c>
      <c r="H12" s="25">
        <f t="shared" si="18"/>
        <v>33.40000000000002</v>
      </c>
      <c r="I12" s="25">
        <f t="shared" si="18"/>
        <v>27.499999999999986</v>
      </c>
      <c r="J12" s="25">
        <f t="shared" si="18"/>
        <v>14.500000000000011</v>
      </c>
      <c r="K12" s="25">
        <f t="shared" si="18"/>
        <v>79.900000000000034</v>
      </c>
      <c r="L12" s="25">
        <f t="shared" si="18"/>
        <v>31.299999999999983</v>
      </c>
      <c r="M12" s="25">
        <f t="shared" si="18"/>
        <v>21.599999999999987</v>
      </c>
      <c r="N12" s="25">
        <f t="shared" si="18"/>
        <v>35.300000000000011</v>
      </c>
      <c r="O12" s="25">
        <f t="shared" ref="O12:P12" si="19">SUM(O6:O11)</f>
        <v>56.600000000000016</v>
      </c>
      <c r="P12" s="25">
        <f t="shared" si="19"/>
        <v>144.80000000000007</v>
      </c>
      <c r="Q12" s="25">
        <f t="shared" ref="Q12:R12" si="20">SUM(Q6:Q11)</f>
        <v>50</v>
      </c>
      <c r="R12" s="25">
        <f t="shared" si="20"/>
        <v>68.100000000000037</v>
      </c>
      <c r="S12" s="25">
        <f t="shared" ref="S12:T12" si="21">SUM(S6:S11)</f>
        <v>45.999999999999979</v>
      </c>
      <c r="T12" s="25">
        <f t="shared" si="21"/>
        <v>22.500000000000021</v>
      </c>
      <c r="U12" s="25">
        <f t="shared" ref="U12:V12" si="22">SUM(U6:U11)</f>
        <v>186.60000000000008</v>
      </c>
      <c r="V12" s="25">
        <f t="shared" si="22"/>
        <v>-198.70000000000005</v>
      </c>
      <c r="W12" s="25">
        <f t="shared" ref="W12:X12" si="23">SUM(W6:W11)</f>
        <v>53.000000000000007</v>
      </c>
      <c r="X12" s="25">
        <f t="shared" si="23"/>
        <v>35.099999999999994</v>
      </c>
      <c r="Y12" s="25">
        <f t="shared" ref="Y12:Z12" si="24">SUM(Y6:Y11)</f>
        <v>-29.999999999999993</v>
      </c>
      <c r="Z12" s="25">
        <f t="shared" si="24"/>
        <v>-140.60000000000014</v>
      </c>
      <c r="AA12" s="25">
        <f t="shared" ref="AA12:AB12" si="25">SUM(AA6:AA11)</f>
        <v>41.400000000000013</v>
      </c>
      <c r="AB12" s="25">
        <f t="shared" si="25"/>
        <v>23.200000000000006</v>
      </c>
      <c r="AC12" s="26">
        <f t="shared" ref="AC12" si="26">SUM(AC6:AC11)</f>
        <v>28.29999999999999</v>
      </c>
    </row>
    <row r="13" spans="1:29" ht="13.5" customHeight="1" x14ac:dyDescent="0.2">
      <c r="A13" s="37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40"/>
    </row>
    <row r="14" spans="1:29" ht="13.5" customHeight="1" x14ac:dyDescent="0.2">
      <c r="A14" s="31" t="s">
        <v>42</v>
      </c>
      <c r="B14" s="33">
        <v>0.5</v>
      </c>
      <c r="C14" s="33">
        <v>0.5</v>
      </c>
      <c r="D14" s="33">
        <v>0.4</v>
      </c>
      <c r="E14" s="33">
        <v>0.3</v>
      </c>
      <c r="F14" s="19">
        <f t="shared" ref="F14:F17" si="27">SUM(B14:E14)</f>
        <v>1.7</v>
      </c>
      <c r="G14" s="33">
        <v>0.2</v>
      </c>
      <c r="H14" s="33">
        <v>0.8</v>
      </c>
      <c r="I14" s="33">
        <v>0.3</v>
      </c>
      <c r="J14" s="33">
        <v>0.5</v>
      </c>
      <c r="K14" s="33">
        <v>1.8</v>
      </c>
      <c r="L14" s="33">
        <v>0.5</v>
      </c>
      <c r="M14" s="33">
        <v>0.6</v>
      </c>
      <c r="N14" s="33">
        <f t="shared" ref="N14" si="28">0.6-0.2</f>
        <v>0.39999999999999997</v>
      </c>
      <c r="O14" s="19">
        <v>0.7</v>
      </c>
      <c r="P14" s="19">
        <v>2.2000000000000002</v>
      </c>
      <c r="Q14" s="19">
        <v>0.8</v>
      </c>
      <c r="R14" s="19">
        <f>1.1-0.4</f>
        <v>0.70000000000000007</v>
      </c>
      <c r="S14" s="19">
        <f>1.2-0.4</f>
        <v>0.79999999999999993</v>
      </c>
      <c r="T14" s="19">
        <f>1.1-0.4</f>
        <v>0.70000000000000007</v>
      </c>
      <c r="U14" s="19">
        <f>SUM(Q14:T14)</f>
        <v>3</v>
      </c>
      <c r="V14" s="19">
        <v>0.3</v>
      </c>
      <c r="W14" s="19">
        <v>0.2</v>
      </c>
      <c r="X14" s="34">
        <v>0</v>
      </c>
      <c r="Y14" s="34">
        <v>0</v>
      </c>
      <c r="Z14" s="19">
        <f t="shared" ref="Z14:Z17" si="29">SUM(V14:Y14)</f>
        <v>0.5</v>
      </c>
      <c r="AA14" s="34">
        <v>0</v>
      </c>
      <c r="AB14" s="34">
        <v>0.1</v>
      </c>
      <c r="AC14" s="36">
        <v>0.1</v>
      </c>
    </row>
    <row r="15" spans="1:29" ht="13.5" customHeight="1" x14ac:dyDescent="0.2">
      <c r="A15" s="31" t="s">
        <v>44</v>
      </c>
      <c r="B15" s="33">
        <v>-11.6</v>
      </c>
      <c r="C15" s="33">
        <v>-10.8</v>
      </c>
      <c r="D15" s="33">
        <v>-12</v>
      </c>
      <c r="E15" s="33">
        <v>-11.8</v>
      </c>
      <c r="F15" s="19">
        <f t="shared" si="27"/>
        <v>-46.2</v>
      </c>
      <c r="G15" s="33">
        <v>-11.2</v>
      </c>
      <c r="H15" s="33">
        <v>-11.1</v>
      </c>
      <c r="I15" s="33">
        <v>-8.5</v>
      </c>
      <c r="J15" s="33">
        <v>-8.8000000000000007</v>
      </c>
      <c r="K15" s="33">
        <v>-39.6</v>
      </c>
      <c r="L15" s="33">
        <v>-18.899999999999999</v>
      </c>
      <c r="M15" s="33">
        <v>-20.399999999999999</v>
      </c>
      <c r="N15" s="33">
        <v>-18.899999999999999</v>
      </c>
      <c r="O15" s="19">
        <v>-21.3</v>
      </c>
      <c r="P15" s="19">
        <v>-79.5</v>
      </c>
      <c r="Q15" s="19">
        <v>-21.9</v>
      </c>
      <c r="R15" s="19">
        <v>-22.2</v>
      </c>
      <c r="S15" s="19">
        <f>-20.8</f>
        <v>-20.8</v>
      </c>
      <c r="T15" s="19">
        <v>-21.2</v>
      </c>
      <c r="U15" s="19">
        <f t="shared" ref="U15:U17" si="30">SUM(Q15:T15)</f>
        <v>-86.1</v>
      </c>
      <c r="V15" s="19">
        <f>-16.7-0.9</f>
        <v>-17.599999999999998</v>
      </c>
      <c r="W15" s="19">
        <v>-15.4</v>
      </c>
      <c r="X15" s="19">
        <v>-13.2</v>
      </c>
      <c r="Y15" s="19">
        <v>-12.4</v>
      </c>
      <c r="Z15" s="19">
        <f t="shared" si="29"/>
        <v>-58.6</v>
      </c>
      <c r="AA15" s="19">
        <f>-12.5+0.1</f>
        <v>-12.4</v>
      </c>
      <c r="AB15" s="19">
        <v>-12.4</v>
      </c>
      <c r="AC15" s="20">
        <f>-11.4-0.6</f>
        <v>-12</v>
      </c>
    </row>
    <row r="16" spans="1:29" ht="13.5" customHeight="1" x14ac:dyDescent="0.2">
      <c r="A16" s="31" t="s">
        <v>43</v>
      </c>
      <c r="B16" s="33">
        <v>-3.9</v>
      </c>
      <c r="C16" s="33">
        <v>-6.1</v>
      </c>
      <c r="D16" s="33">
        <v>1.8</v>
      </c>
      <c r="E16" s="33">
        <v>-3.7</v>
      </c>
      <c r="F16" s="19">
        <f t="shared" si="27"/>
        <v>-11.899999999999999</v>
      </c>
      <c r="G16" s="33">
        <v>10</v>
      </c>
      <c r="H16" s="33">
        <v>5.5</v>
      </c>
      <c r="I16" s="33">
        <v>20.5</v>
      </c>
      <c r="J16" s="33">
        <v>-4.3</v>
      </c>
      <c r="K16" s="33">
        <v>31.7</v>
      </c>
      <c r="L16" s="33">
        <v>29.4</v>
      </c>
      <c r="M16" s="33">
        <v>-14</v>
      </c>
      <c r="N16" s="33">
        <v>4.9000000000000004</v>
      </c>
      <c r="O16" s="19">
        <v>-34</v>
      </c>
      <c r="P16" s="19">
        <v>-13.7</v>
      </c>
      <c r="Q16" s="19">
        <v>-6.7</v>
      </c>
      <c r="R16" s="19">
        <v>-9.8000000000000007</v>
      </c>
      <c r="S16" s="19">
        <v>-28.4</v>
      </c>
      <c r="T16" s="19">
        <v>94.7</v>
      </c>
      <c r="U16" s="19">
        <f t="shared" si="30"/>
        <v>49.800000000000004</v>
      </c>
      <c r="V16" s="19">
        <f>-43-43.7</f>
        <v>-86.7</v>
      </c>
      <c r="W16" s="19">
        <v>10.3</v>
      </c>
      <c r="X16" s="19">
        <v>8.3000000000000007</v>
      </c>
      <c r="Y16" s="19">
        <v>23.2</v>
      </c>
      <c r="Z16" s="19">
        <f t="shared" si="29"/>
        <v>-44.900000000000006</v>
      </c>
      <c r="AA16" s="19">
        <v>22.1</v>
      </c>
      <c r="AB16" s="19">
        <v>-9</v>
      </c>
      <c r="AC16" s="20">
        <v>-3</v>
      </c>
    </row>
    <row r="17" spans="1:29" ht="13.5" customHeight="1" x14ac:dyDescent="0.2">
      <c r="A17" s="21" t="s">
        <v>45</v>
      </c>
      <c r="B17" s="33">
        <v>-14.4</v>
      </c>
      <c r="C17" s="33">
        <v>-1.7</v>
      </c>
      <c r="D17" s="33">
        <v>-13.7</v>
      </c>
      <c r="E17" s="33">
        <v>21</v>
      </c>
      <c r="F17" s="19">
        <f t="shared" si="27"/>
        <v>-8.8000000000000007</v>
      </c>
      <c r="G17" s="33">
        <f>-9.7+0.1</f>
        <v>-9.6</v>
      </c>
      <c r="H17" s="33">
        <f>-13.8+0.2</f>
        <v>-13.600000000000001</v>
      </c>
      <c r="I17" s="33">
        <f>-17.7-0.1</f>
        <v>-17.8</v>
      </c>
      <c r="J17" s="33">
        <v>10.6</v>
      </c>
      <c r="K17" s="33">
        <f>-30.6+0.2</f>
        <v>-30.400000000000002</v>
      </c>
      <c r="L17" s="33">
        <f>-14.9-0.6</f>
        <v>-15.5</v>
      </c>
      <c r="M17" s="33">
        <f>11.7-0.6</f>
        <v>11.1</v>
      </c>
      <c r="N17" s="33">
        <f t="shared" ref="N17" si="31">-1.5-1.2</f>
        <v>-2.7</v>
      </c>
      <c r="O17" s="19">
        <f>14.8+0.1</f>
        <v>14.9</v>
      </c>
      <c r="P17" s="19">
        <v>7.8</v>
      </c>
      <c r="Q17" s="19">
        <f>-2+0.9+1.2-1.8</f>
        <v>-1.7000000000000002</v>
      </c>
      <c r="R17" s="19">
        <f>-8.9+3-2.6</f>
        <v>-8.5</v>
      </c>
      <c r="S17" s="19">
        <f>15.6+0.3-2.1</f>
        <v>13.8</v>
      </c>
      <c r="T17" s="19">
        <f>-85.9+1.9-2.3</f>
        <v>-86.3</v>
      </c>
      <c r="U17" s="19">
        <f t="shared" si="30"/>
        <v>-82.699999999999989</v>
      </c>
      <c r="V17" s="19">
        <f>-32.8+43.7+0.9</f>
        <v>11.800000000000006</v>
      </c>
      <c r="W17" s="19">
        <v>-9.5</v>
      </c>
      <c r="X17" s="19">
        <v>-3.3</v>
      </c>
      <c r="Y17" s="19">
        <v>-11.7</v>
      </c>
      <c r="Z17" s="19">
        <f t="shared" si="29"/>
        <v>-12.699999999999992</v>
      </c>
      <c r="AA17" s="19">
        <f>-2.4-0.1</f>
        <v>-2.5</v>
      </c>
      <c r="AB17" s="19">
        <v>5.0999999999999996</v>
      </c>
      <c r="AC17" s="20">
        <v>0.9</v>
      </c>
    </row>
    <row r="18" spans="1:29" ht="13.5" customHeight="1" x14ac:dyDescent="0.2">
      <c r="A18" s="24" t="s">
        <v>69</v>
      </c>
      <c r="B18" s="41">
        <f t="shared" ref="B18" si="32">SUM(B14:B17)</f>
        <v>-29.4</v>
      </c>
      <c r="C18" s="41">
        <f t="shared" ref="C18:D18" si="33">SUM(C14:C17)</f>
        <v>-18.099999999999998</v>
      </c>
      <c r="D18" s="41">
        <f t="shared" si="33"/>
        <v>-23.5</v>
      </c>
      <c r="E18" s="41">
        <f t="shared" ref="E18:F18" si="34">SUM(E14:E17)</f>
        <v>5.8000000000000007</v>
      </c>
      <c r="F18" s="41">
        <f t="shared" si="34"/>
        <v>-65.2</v>
      </c>
      <c r="G18" s="41">
        <f t="shared" ref="G18:N18" si="35">SUM(G14:G17)</f>
        <v>-10.6</v>
      </c>
      <c r="H18" s="41">
        <f t="shared" si="35"/>
        <v>-18.399999999999999</v>
      </c>
      <c r="I18" s="41">
        <f t="shared" si="35"/>
        <v>-5.5</v>
      </c>
      <c r="J18" s="41">
        <f t="shared" si="35"/>
        <v>-2.0000000000000018</v>
      </c>
      <c r="K18" s="41">
        <f t="shared" si="35"/>
        <v>-36.500000000000007</v>
      </c>
      <c r="L18" s="41">
        <f t="shared" si="35"/>
        <v>-4.5</v>
      </c>
      <c r="M18" s="41">
        <f t="shared" si="35"/>
        <v>-22.699999999999996</v>
      </c>
      <c r="N18" s="41">
        <f t="shared" si="35"/>
        <v>-16.3</v>
      </c>
      <c r="O18" s="41">
        <f t="shared" ref="O18" si="36">SUM(O14:O17)</f>
        <v>-39.700000000000003</v>
      </c>
      <c r="P18" s="41">
        <f t="shared" ref="P18:Q18" si="37">SUM(P14:P17)</f>
        <v>-83.2</v>
      </c>
      <c r="Q18" s="41">
        <f t="shared" si="37"/>
        <v>-29.499999999999996</v>
      </c>
      <c r="R18" s="41">
        <f t="shared" ref="R18:S18" si="38">SUM(R14:R17)</f>
        <v>-39.799999999999997</v>
      </c>
      <c r="S18" s="41">
        <f t="shared" si="38"/>
        <v>-34.599999999999994</v>
      </c>
      <c r="T18" s="41">
        <f t="shared" ref="T18:V18" si="39">SUM(T14:T17)</f>
        <v>-12.099999999999994</v>
      </c>
      <c r="U18" s="41">
        <f t="shared" si="39"/>
        <v>-115.99999999999997</v>
      </c>
      <c r="V18" s="41">
        <f t="shared" si="39"/>
        <v>-92.199999999999989</v>
      </c>
      <c r="W18" s="41">
        <f t="shared" ref="W18:X18" si="40">SUM(W14:W17)</f>
        <v>-14.4</v>
      </c>
      <c r="X18" s="41">
        <f t="shared" si="40"/>
        <v>-8.1999999999999993</v>
      </c>
      <c r="Y18" s="41">
        <f t="shared" ref="Y18:Z18" si="41">SUM(Y14:Y17)</f>
        <v>-0.90000000000000036</v>
      </c>
      <c r="Z18" s="41">
        <f t="shared" si="41"/>
        <v>-115.69999999999999</v>
      </c>
      <c r="AA18" s="41">
        <f t="shared" ref="AA18:AB18" si="42">SUM(AA14:AA17)</f>
        <v>7.2000000000000011</v>
      </c>
      <c r="AB18" s="41">
        <f t="shared" si="42"/>
        <v>-16.200000000000003</v>
      </c>
      <c r="AC18" s="42">
        <f t="shared" ref="AC18" si="43">SUM(AC14:AC17)</f>
        <v>-14</v>
      </c>
    </row>
    <row r="19" spans="1:29" ht="13.5" customHeight="1" x14ac:dyDescent="0.2">
      <c r="A19" s="37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40"/>
    </row>
    <row r="20" spans="1:29" ht="13.5" customHeight="1" x14ac:dyDescent="0.2">
      <c r="A20" s="21" t="s">
        <v>73</v>
      </c>
      <c r="B20" s="34">
        <v>0.1</v>
      </c>
      <c r="C20" s="34">
        <v>0</v>
      </c>
      <c r="D20" s="23">
        <v>0.3</v>
      </c>
      <c r="E20" s="23">
        <v>0.2</v>
      </c>
      <c r="F20" s="19">
        <f>SUM(B20:E20)</f>
        <v>0.60000000000000009</v>
      </c>
      <c r="G20" s="34">
        <v>0</v>
      </c>
      <c r="H20" s="23">
        <v>0.5</v>
      </c>
      <c r="I20" s="23">
        <v>-0.1</v>
      </c>
      <c r="J20" s="23">
        <v>0.5</v>
      </c>
      <c r="K20" s="23">
        <v>0.9</v>
      </c>
      <c r="L20" s="23">
        <v>0.5</v>
      </c>
      <c r="M20" s="23">
        <v>0.3</v>
      </c>
      <c r="N20" s="23">
        <v>9.9999999999999978E-2</v>
      </c>
      <c r="O20" s="19">
        <v>0.5</v>
      </c>
      <c r="P20" s="19">
        <v>1.4</v>
      </c>
      <c r="Q20" s="19">
        <v>0.5</v>
      </c>
      <c r="R20" s="19">
        <v>0.4</v>
      </c>
      <c r="S20" s="19">
        <v>0.1</v>
      </c>
      <c r="T20" s="19">
        <v>-0.3</v>
      </c>
      <c r="U20" s="19">
        <f>SUM(Q20:T20)</f>
        <v>0.7</v>
      </c>
      <c r="V20" s="19">
        <f>-2-4.1</f>
        <v>-6.1</v>
      </c>
      <c r="W20" s="19">
        <v>-2.1</v>
      </c>
      <c r="X20" s="19">
        <v>-4.7</v>
      </c>
      <c r="Y20" s="19">
        <v>-2.8</v>
      </c>
      <c r="Z20" s="19">
        <f t="shared" ref="Z20" si="44">SUM(V20:Y20)</f>
        <v>-15.7</v>
      </c>
      <c r="AA20" s="19">
        <v>8.3000000000000007</v>
      </c>
      <c r="AB20" s="19">
        <v>5.3</v>
      </c>
      <c r="AC20" s="20">
        <v>-3.8</v>
      </c>
    </row>
    <row r="21" spans="1:29" ht="13.5" customHeight="1" x14ac:dyDescent="0.2">
      <c r="A21" s="24" t="s">
        <v>46</v>
      </c>
      <c r="B21" s="41">
        <f t="shared" ref="B21" si="45">+B12+B18+B20</f>
        <v>6.8000000000000096</v>
      </c>
      <c r="C21" s="41">
        <f t="shared" ref="C21:D21" si="46">+C12+C18+C20</f>
        <v>6.7999999999999936</v>
      </c>
      <c r="D21" s="41">
        <f t="shared" si="46"/>
        <v>-4.3000000000000016</v>
      </c>
      <c r="E21" s="41">
        <f t="shared" ref="E21:F21" si="47">+E12+E18+E20</f>
        <v>-109.50000000000001</v>
      </c>
      <c r="F21" s="41">
        <f t="shared" si="47"/>
        <v>-100.19999999999995</v>
      </c>
      <c r="G21" s="41">
        <f t="shared" ref="G21:N21" si="48">+G12+G18+G20</f>
        <v>-6.1000000000000183</v>
      </c>
      <c r="H21" s="41">
        <f t="shared" si="48"/>
        <v>15.500000000000021</v>
      </c>
      <c r="I21" s="41">
        <f t="shared" si="48"/>
        <v>21.899999999999984</v>
      </c>
      <c r="J21" s="41">
        <f t="shared" si="48"/>
        <v>13.000000000000009</v>
      </c>
      <c r="K21" s="41">
        <f t="shared" si="48"/>
        <v>44.300000000000026</v>
      </c>
      <c r="L21" s="41">
        <f t="shared" si="48"/>
        <v>27.299999999999983</v>
      </c>
      <c r="M21" s="41">
        <f t="shared" si="48"/>
        <v>-0.80000000000000848</v>
      </c>
      <c r="N21" s="41">
        <f t="shared" si="48"/>
        <v>19.100000000000012</v>
      </c>
      <c r="O21" s="41">
        <f t="shared" ref="O21:V21" si="49">+O12+O18+O20</f>
        <v>17.400000000000013</v>
      </c>
      <c r="P21" s="41">
        <f t="shared" si="49"/>
        <v>63.000000000000064</v>
      </c>
      <c r="Q21" s="41">
        <f t="shared" si="49"/>
        <v>21.000000000000004</v>
      </c>
      <c r="R21" s="41">
        <f t="shared" si="49"/>
        <v>28.700000000000038</v>
      </c>
      <c r="S21" s="41">
        <f t="shared" si="49"/>
        <v>11.499999999999984</v>
      </c>
      <c r="T21" s="41">
        <f t="shared" si="49"/>
        <v>10.100000000000026</v>
      </c>
      <c r="U21" s="41">
        <f t="shared" si="49"/>
        <v>71.300000000000111</v>
      </c>
      <c r="V21" s="41">
        <f t="shared" si="49"/>
        <v>-297.00000000000006</v>
      </c>
      <c r="W21" s="41">
        <f t="shared" ref="W21:X21" si="50">+W12+W18+W20</f>
        <v>36.500000000000007</v>
      </c>
      <c r="X21" s="41">
        <f t="shared" si="50"/>
        <v>22.199999999999996</v>
      </c>
      <c r="Y21" s="41">
        <f t="shared" ref="Y21:Z21" si="51">+Y12+Y18+Y20</f>
        <v>-33.699999999999989</v>
      </c>
      <c r="Z21" s="41">
        <f t="shared" si="51"/>
        <v>-272.00000000000011</v>
      </c>
      <c r="AA21" s="41">
        <f t="shared" ref="AA21:AB21" si="52">+AA12+AA18+AA20</f>
        <v>56.90000000000002</v>
      </c>
      <c r="AB21" s="41">
        <f t="shared" si="52"/>
        <v>12.300000000000004</v>
      </c>
      <c r="AC21" s="42">
        <f t="shared" ref="AC21" si="53">+AC12+AC18+AC20</f>
        <v>10.499999999999989</v>
      </c>
    </row>
    <row r="22" spans="1:29" ht="13.5" customHeight="1" x14ac:dyDescent="0.2">
      <c r="A22" s="4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30"/>
    </row>
    <row r="23" spans="1:29" ht="13.5" customHeight="1" x14ac:dyDescent="0.2">
      <c r="A23" s="21" t="s">
        <v>47</v>
      </c>
      <c r="B23" s="33">
        <v>-9.6999999999999993</v>
      </c>
      <c r="C23" s="33">
        <v>-11.2</v>
      </c>
      <c r="D23" s="33">
        <v>-6.9</v>
      </c>
      <c r="E23" s="33">
        <v>-4.9000000000000004</v>
      </c>
      <c r="F23" s="19">
        <f>SUM(B23:E23)</f>
        <v>-32.699999999999996</v>
      </c>
      <c r="G23" s="33">
        <v>-9.1</v>
      </c>
      <c r="H23" s="33">
        <v>-9.6</v>
      </c>
      <c r="I23" s="33">
        <v>-17.600000000000001</v>
      </c>
      <c r="J23" s="33">
        <f>34+0.1</f>
        <v>34.1</v>
      </c>
      <c r="K23" s="33">
        <f>-2.3+0.1</f>
        <v>-2.1999999999999997</v>
      </c>
      <c r="L23" s="33">
        <f>-9.5+0.2</f>
        <v>-9.3000000000000007</v>
      </c>
      <c r="M23" s="33">
        <f>-7.5+0.1</f>
        <v>-7.4</v>
      </c>
      <c r="N23" s="33">
        <f t="shared" ref="N23" si="54">-9.2+2.1</f>
        <v>-7.1</v>
      </c>
      <c r="O23" s="19">
        <f>-14.1+9.2</f>
        <v>-4.9000000000000004</v>
      </c>
      <c r="P23" s="19">
        <v>-28.7</v>
      </c>
      <c r="Q23" s="19">
        <f>-16.4+8.6</f>
        <v>-7.7999999999999989</v>
      </c>
      <c r="R23" s="19">
        <f>-21.3+10.4</f>
        <v>-10.9</v>
      </c>
      <c r="S23" s="19">
        <f>-23.8+11.6</f>
        <v>-12.200000000000001</v>
      </c>
      <c r="T23" s="19">
        <f>-16.7+8.3</f>
        <v>-8.3999999999999986</v>
      </c>
      <c r="U23" s="19">
        <f>SUM(Q23:T23)</f>
        <v>-39.299999999999997</v>
      </c>
      <c r="V23" s="19">
        <f>-10.9-3.4</f>
        <v>-14.3</v>
      </c>
      <c r="W23" s="19">
        <v>-6.8</v>
      </c>
      <c r="X23" s="19">
        <v>-7.6</v>
      </c>
      <c r="Y23" s="19">
        <f>-10+0.7</f>
        <v>-9.3000000000000007</v>
      </c>
      <c r="Z23" s="19">
        <f t="shared" ref="Z23" si="55">SUM(V23:Y23)</f>
        <v>-38</v>
      </c>
      <c r="AA23" s="19">
        <v>40.299999999999997</v>
      </c>
      <c r="AB23" s="19">
        <v>-6.4</v>
      </c>
      <c r="AC23" s="20">
        <v>-5.3</v>
      </c>
    </row>
    <row r="24" spans="1:29" ht="13.5" customHeight="1" x14ac:dyDescent="0.2">
      <c r="A24" s="24" t="s">
        <v>116</v>
      </c>
      <c r="B24" s="25">
        <f t="shared" ref="B24" si="56">+B21+B23</f>
        <v>-2.8999999999999897</v>
      </c>
      <c r="C24" s="25">
        <f t="shared" ref="C24:D24" si="57">+C21+C23</f>
        <v>-4.4000000000000057</v>
      </c>
      <c r="D24" s="25">
        <f t="shared" si="57"/>
        <v>-11.200000000000003</v>
      </c>
      <c r="E24" s="25">
        <f t="shared" ref="E24:F24" si="58">+E21+E23</f>
        <v>-114.40000000000002</v>
      </c>
      <c r="F24" s="25">
        <f t="shared" si="58"/>
        <v>-132.89999999999995</v>
      </c>
      <c r="G24" s="25">
        <f t="shared" ref="G24:N24" si="59">+G21+G23</f>
        <v>-15.200000000000017</v>
      </c>
      <c r="H24" s="25">
        <f t="shared" si="59"/>
        <v>5.9000000000000217</v>
      </c>
      <c r="I24" s="25">
        <f t="shared" si="59"/>
        <v>4.2999999999999829</v>
      </c>
      <c r="J24" s="25">
        <f t="shared" si="59"/>
        <v>47.100000000000009</v>
      </c>
      <c r="K24" s="25">
        <f t="shared" si="59"/>
        <v>42.100000000000023</v>
      </c>
      <c r="L24" s="25">
        <f t="shared" si="59"/>
        <v>17.999999999999982</v>
      </c>
      <c r="M24" s="25">
        <f t="shared" si="59"/>
        <v>-8.2000000000000082</v>
      </c>
      <c r="N24" s="25">
        <f t="shared" si="59"/>
        <v>12.000000000000012</v>
      </c>
      <c r="O24" s="25">
        <f t="shared" ref="O24" si="60">+O21+O23</f>
        <v>12.500000000000012</v>
      </c>
      <c r="P24" s="25">
        <f t="shared" ref="P24:Q24" si="61">+P21+P23</f>
        <v>34.300000000000068</v>
      </c>
      <c r="Q24" s="25">
        <f t="shared" si="61"/>
        <v>13.200000000000005</v>
      </c>
      <c r="R24" s="25">
        <f t="shared" ref="R24:S24" si="62">+R21+R23</f>
        <v>17.80000000000004</v>
      </c>
      <c r="S24" s="25">
        <f t="shared" si="62"/>
        <v>-0.70000000000001705</v>
      </c>
      <c r="T24" s="25">
        <f t="shared" ref="T24:V24" si="63">+T21+T23</f>
        <v>1.7000000000000277</v>
      </c>
      <c r="U24" s="25">
        <f t="shared" si="63"/>
        <v>32.000000000000114</v>
      </c>
      <c r="V24" s="25">
        <f t="shared" si="63"/>
        <v>-311.30000000000007</v>
      </c>
      <c r="W24" s="25">
        <f t="shared" ref="W24:X24" si="64">+W21+W23</f>
        <v>29.700000000000006</v>
      </c>
      <c r="X24" s="25">
        <f t="shared" si="64"/>
        <v>14.599999999999996</v>
      </c>
      <c r="Y24" s="25">
        <f t="shared" ref="Y24:Z24" si="65">+Y21+Y23</f>
        <v>-42.999999999999986</v>
      </c>
      <c r="Z24" s="25">
        <f t="shared" si="65"/>
        <v>-310.00000000000011</v>
      </c>
      <c r="AA24" s="25">
        <f t="shared" ref="AA24:AB24" si="66">+AA21+AA23</f>
        <v>97.200000000000017</v>
      </c>
      <c r="AB24" s="25">
        <f t="shared" si="66"/>
        <v>5.9000000000000039</v>
      </c>
      <c r="AC24" s="26">
        <f t="shared" ref="AC24" si="67">+AC21+AC23</f>
        <v>5.1999999999999895</v>
      </c>
    </row>
    <row r="25" spans="1:29" ht="13.5" customHeight="1" x14ac:dyDescent="0.2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5"/>
    </row>
    <row r="26" spans="1:29" ht="13.5" customHeight="1" x14ac:dyDescent="0.2">
      <c r="A26" s="18" t="s">
        <v>118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5"/>
    </row>
    <row r="27" spans="1:29" ht="13.5" customHeight="1" x14ac:dyDescent="0.2">
      <c r="A27" s="21" t="s">
        <v>115</v>
      </c>
      <c r="B27" s="34">
        <v>0</v>
      </c>
      <c r="C27" s="34">
        <v>0</v>
      </c>
      <c r="D27" s="34">
        <v>0</v>
      </c>
      <c r="E27" s="34">
        <v>0</v>
      </c>
      <c r="F27" s="34">
        <f>SUM(B27:E27)</f>
        <v>0</v>
      </c>
      <c r="G27" s="34">
        <v>0.1</v>
      </c>
      <c r="H27" s="34">
        <v>-0.7</v>
      </c>
      <c r="I27" s="34">
        <v>-0.4</v>
      </c>
      <c r="J27" s="34">
        <v>0.1</v>
      </c>
      <c r="K27" s="34">
        <v>-0.9</v>
      </c>
      <c r="L27" s="34">
        <v>0.1</v>
      </c>
      <c r="M27" s="34">
        <v>0.7</v>
      </c>
      <c r="N27" s="34">
        <f t="shared" ref="N27" si="68">8.7-2-1.8+0.2+1.2-2.1-0.6</f>
        <v>3.5999999999999992</v>
      </c>
      <c r="O27" s="34">
        <f>30.5-15.9-6.1-0.1-9.2-1.4</f>
        <v>-2.1999999999999988</v>
      </c>
      <c r="P27" s="34">
        <v>2.2000000000000002</v>
      </c>
      <c r="Q27" s="34">
        <f>84-29.4-19.2+0.3+0.3-2.4-8.6+1.8+1.4-4.8</f>
        <v>23.4</v>
      </c>
      <c r="R27" s="34">
        <f>56.2-13.5-20.3+0.4-3-10.4-6.9+6.5+2.6</f>
        <v>11.6</v>
      </c>
      <c r="S27" s="34">
        <f>49.5-14.5-13.8+0.4-0.3-11.6-5.9+4.3+2.1</f>
        <v>10.199999999999998</v>
      </c>
      <c r="T27" s="115">
        <f>92.7-35.2-21.3+0.4-1.9-8.3-5.9+6+2.3+0.2-0.1</f>
        <v>28.9</v>
      </c>
      <c r="U27" s="34">
        <f>SUM(Q27:T27)</f>
        <v>74.099999999999994</v>
      </c>
      <c r="V27" s="19">
        <f>40.1-2.4</f>
        <v>37.700000000000003</v>
      </c>
      <c r="W27" s="34">
        <v>0</v>
      </c>
      <c r="X27" s="34">
        <v>0</v>
      </c>
      <c r="Y27" s="34">
        <v>0</v>
      </c>
      <c r="Z27" s="19">
        <f t="shared" ref="Z27" si="69">SUM(V27:Y27)</f>
        <v>37.700000000000003</v>
      </c>
      <c r="AA27" s="34">
        <v>0</v>
      </c>
      <c r="AB27" s="34">
        <v>0</v>
      </c>
      <c r="AC27" s="36">
        <v>0</v>
      </c>
    </row>
    <row r="28" spans="1:29" ht="13.5" customHeight="1" x14ac:dyDescent="0.2">
      <c r="A28" s="24" t="s">
        <v>48</v>
      </c>
      <c r="B28" s="25">
        <f t="shared" ref="B28" si="70">+B24+B27</f>
        <v>-2.8999999999999897</v>
      </c>
      <c r="C28" s="25">
        <f t="shared" ref="C28:D28" si="71">+C24+C27</f>
        <v>-4.4000000000000057</v>
      </c>
      <c r="D28" s="25">
        <f t="shared" si="71"/>
        <v>-11.200000000000003</v>
      </c>
      <c r="E28" s="25">
        <f t="shared" ref="E28:F28" si="72">+E24+E27</f>
        <v>-114.40000000000002</v>
      </c>
      <c r="F28" s="25">
        <f t="shared" si="72"/>
        <v>-132.89999999999995</v>
      </c>
      <c r="G28" s="25">
        <f t="shared" ref="G28:N28" si="73">+G24+G27</f>
        <v>-15.100000000000017</v>
      </c>
      <c r="H28" s="25">
        <f t="shared" si="73"/>
        <v>5.2000000000000215</v>
      </c>
      <c r="I28" s="25">
        <f t="shared" si="73"/>
        <v>3.899999999999983</v>
      </c>
      <c r="J28" s="25">
        <f t="shared" si="73"/>
        <v>47.20000000000001</v>
      </c>
      <c r="K28" s="25">
        <f t="shared" si="73"/>
        <v>41.200000000000024</v>
      </c>
      <c r="L28" s="25">
        <f t="shared" si="73"/>
        <v>18.099999999999984</v>
      </c>
      <c r="M28" s="25">
        <f t="shared" si="73"/>
        <v>-7.500000000000008</v>
      </c>
      <c r="N28" s="25">
        <f t="shared" si="73"/>
        <v>15.600000000000012</v>
      </c>
      <c r="O28" s="25">
        <f t="shared" ref="O28:V28" si="74">+O24+O27</f>
        <v>10.300000000000013</v>
      </c>
      <c r="P28" s="25">
        <f t="shared" si="74"/>
        <v>36.500000000000071</v>
      </c>
      <c r="Q28" s="25">
        <f t="shared" si="74"/>
        <v>36.6</v>
      </c>
      <c r="R28" s="25">
        <f t="shared" si="74"/>
        <v>29.400000000000041</v>
      </c>
      <c r="S28" s="25">
        <f t="shared" si="74"/>
        <v>9.4999999999999805</v>
      </c>
      <c r="T28" s="25">
        <f t="shared" si="74"/>
        <v>30.600000000000026</v>
      </c>
      <c r="U28" s="25">
        <f t="shared" si="74"/>
        <v>106.10000000000011</v>
      </c>
      <c r="V28" s="25">
        <f t="shared" si="74"/>
        <v>-273.60000000000008</v>
      </c>
      <c r="W28" s="25">
        <f t="shared" ref="W28:X28" si="75">+W24+W27</f>
        <v>29.700000000000006</v>
      </c>
      <c r="X28" s="25">
        <f t="shared" si="75"/>
        <v>14.599999999999996</v>
      </c>
      <c r="Y28" s="25">
        <f t="shared" ref="Y28:Z28" si="76">+Y24+Y27</f>
        <v>-42.999999999999986</v>
      </c>
      <c r="Z28" s="25">
        <f t="shared" si="76"/>
        <v>-272.30000000000013</v>
      </c>
      <c r="AA28" s="25">
        <f t="shared" ref="AA28:AB28" si="77">+AA24+AA27</f>
        <v>97.200000000000017</v>
      </c>
      <c r="AB28" s="25">
        <f t="shared" si="77"/>
        <v>5.9000000000000039</v>
      </c>
      <c r="AC28" s="26">
        <f t="shared" ref="AC28" si="78">+AC24+AC27</f>
        <v>5.1999999999999895</v>
      </c>
    </row>
    <row r="29" spans="1:29" ht="13.5" customHeight="1" x14ac:dyDescent="0.2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5"/>
    </row>
    <row r="30" spans="1:29" ht="13.5" customHeight="1" x14ac:dyDescent="0.2">
      <c r="A30" s="21" t="s">
        <v>60</v>
      </c>
      <c r="B30" s="33">
        <f t="shared" ref="B30" si="79">+B28-B31</f>
        <v>-2.8999999999999897</v>
      </c>
      <c r="C30" s="33">
        <f t="shared" ref="C30:D30" si="80">+C28-C31</f>
        <v>-4.4000000000000057</v>
      </c>
      <c r="D30" s="33">
        <f t="shared" si="80"/>
        <v>-11.200000000000003</v>
      </c>
      <c r="E30" s="33">
        <f t="shared" ref="E30:F30" si="81">+E28-E31</f>
        <v>-114.40000000000002</v>
      </c>
      <c r="F30" s="33">
        <f t="shared" si="81"/>
        <v>-132.89999999999995</v>
      </c>
      <c r="G30" s="33">
        <f t="shared" ref="G30:N30" si="82">+G28-G31</f>
        <v>-15.100000000000017</v>
      </c>
      <c r="H30" s="33">
        <f t="shared" si="82"/>
        <v>5.4000000000000217</v>
      </c>
      <c r="I30" s="33">
        <f t="shared" si="82"/>
        <v>3.9999999999999831</v>
      </c>
      <c r="J30" s="33">
        <f t="shared" si="82"/>
        <v>45.500000000000007</v>
      </c>
      <c r="K30" s="33">
        <f t="shared" si="82"/>
        <v>39.800000000000026</v>
      </c>
      <c r="L30" s="33">
        <f t="shared" si="82"/>
        <v>16.499999999999982</v>
      </c>
      <c r="M30" s="33">
        <f t="shared" si="82"/>
        <v>-9.3000000000000078</v>
      </c>
      <c r="N30" s="33">
        <f t="shared" si="82"/>
        <v>12.700000000000012</v>
      </c>
      <c r="O30" s="19">
        <f t="shared" ref="O30:U30" si="83">+O28-O31</f>
        <v>9.1000000000000139</v>
      </c>
      <c r="P30" s="19">
        <f t="shared" si="83"/>
        <v>33.500000000000071</v>
      </c>
      <c r="Q30" s="19">
        <f t="shared" si="83"/>
        <v>26.6</v>
      </c>
      <c r="R30" s="19">
        <f t="shared" si="83"/>
        <v>24.700000000000042</v>
      </c>
      <c r="S30" s="19">
        <f t="shared" si="83"/>
        <v>5.3999999999999808</v>
      </c>
      <c r="T30" s="34">
        <f t="shared" si="83"/>
        <v>21.600000000000026</v>
      </c>
      <c r="U30" s="34">
        <f t="shared" si="83"/>
        <v>82.600000000000108</v>
      </c>
      <c r="V30" s="19">
        <f t="shared" ref="V30:AA30" si="84">+V28-V31</f>
        <v>-274.90000000000009</v>
      </c>
      <c r="W30" s="19">
        <f t="shared" si="84"/>
        <v>28.400000000000006</v>
      </c>
      <c r="X30" s="19">
        <f t="shared" si="84"/>
        <v>13.299999999999995</v>
      </c>
      <c r="Y30" s="19">
        <f t="shared" si="84"/>
        <v>-43.299999999999983</v>
      </c>
      <c r="Z30" s="19">
        <f t="shared" si="84"/>
        <v>-272.60000000000014</v>
      </c>
      <c r="AA30" s="19">
        <f t="shared" si="84"/>
        <v>97.500000000000014</v>
      </c>
      <c r="AB30" s="19">
        <f t="shared" ref="AB30:AC30" si="85">+AB28-AB31</f>
        <v>7.4000000000000039</v>
      </c>
      <c r="AC30" s="20">
        <f t="shared" si="85"/>
        <v>6.2999999999999901</v>
      </c>
    </row>
    <row r="31" spans="1:29" ht="13.5" customHeight="1" x14ac:dyDescent="0.2">
      <c r="A31" s="21" t="s">
        <v>61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-0.2</v>
      </c>
      <c r="I31" s="34">
        <v>-0.1</v>
      </c>
      <c r="J31" s="34">
        <v>1.7</v>
      </c>
      <c r="K31" s="34">
        <v>1.4</v>
      </c>
      <c r="L31" s="34">
        <v>1.6</v>
      </c>
      <c r="M31" s="34">
        <v>1.8</v>
      </c>
      <c r="N31" s="34">
        <v>2.9</v>
      </c>
      <c r="O31" s="34">
        <v>1.2</v>
      </c>
      <c r="P31" s="34">
        <v>3</v>
      </c>
      <c r="Q31" s="34">
        <v>10</v>
      </c>
      <c r="R31" s="34">
        <v>4.7</v>
      </c>
      <c r="S31" s="34">
        <v>4.0999999999999996</v>
      </c>
      <c r="T31" s="34">
        <v>9</v>
      </c>
      <c r="U31" s="34">
        <v>23.5</v>
      </c>
      <c r="V31" s="19">
        <v>1.3</v>
      </c>
      <c r="W31" s="19">
        <v>1.3</v>
      </c>
      <c r="X31" s="19">
        <v>1.3</v>
      </c>
      <c r="Y31" s="19">
        <v>0.3</v>
      </c>
      <c r="Z31" s="19">
        <v>0.3</v>
      </c>
      <c r="AA31" s="19">
        <v>-0.3</v>
      </c>
      <c r="AB31" s="19">
        <v>-1.5</v>
      </c>
      <c r="AC31" s="20">
        <v>-1.1000000000000001</v>
      </c>
    </row>
    <row r="32" spans="1:29" ht="13.5" customHeight="1" x14ac:dyDescent="0.2">
      <c r="A32" s="21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19"/>
      <c r="W32" s="19"/>
      <c r="X32" s="19"/>
      <c r="Y32" s="19"/>
      <c r="Z32" s="19"/>
      <c r="AA32" s="19"/>
      <c r="AB32" s="19"/>
      <c r="AC32" s="20"/>
    </row>
    <row r="33" spans="1:29" ht="13.5" customHeight="1" x14ac:dyDescent="0.2">
      <c r="A33" s="21" t="s">
        <v>119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2"/>
      <c r="P33" s="32"/>
      <c r="Q33" s="32"/>
      <c r="R33" s="32"/>
      <c r="S33" s="32"/>
      <c r="T33" s="32"/>
      <c r="U33" s="32"/>
      <c r="V33" s="19"/>
      <c r="W33" s="19"/>
      <c r="X33" s="19"/>
      <c r="Y33" s="19"/>
      <c r="Z33" s="19"/>
      <c r="AA33" s="19"/>
      <c r="AB33" s="19"/>
      <c r="AC33" s="20"/>
    </row>
    <row r="34" spans="1:29" ht="13.5" customHeight="1" x14ac:dyDescent="0.2">
      <c r="A34" s="21" t="s">
        <v>111</v>
      </c>
      <c r="B34" s="102">
        <v>0</v>
      </c>
      <c r="C34" s="102">
        <v>-0.01</v>
      </c>
      <c r="D34" s="102">
        <v>0</v>
      </c>
      <c r="E34" s="102">
        <v>-0.62</v>
      </c>
      <c r="F34" s="102">
        <v>-1.47</v>
      </c>
      <c r="G34" s="102">
        <v>-0.08</v>
      </c>
      <c r="H34" s="102">
        <v>0.03</v>
      </c>
      <c r="I34" s="102">
        <v>0.02</v>
      </c>
      <c r="J34" s="102">
        <v>0.25</v>
      </c>
      <c r="K34" s="102">
        <v>0.22</v>
      </c>
      <c r="L34" s="102">
        <v>0.09</v>
      </c>
      <c r="M34" s="102">
        <v>-0.05</v>
      </c>
      <c r="N34" s="46">
        <v>6.8665422683498928E-2</v>
      </c>
      <c r="O34" s="46">
        <v>0.05</v>
      </c>
      <c r="P34" s="46">
        <v>0.18</v>
      </c>
      <c r="Q34" s="46">
        <v>0.14000000000000001</v>
      </c>
      <c r="R34" s="46">
        <v>0.13</v>
      </c>
      <c r="S34" s="46">
        <v>0.03</v>
      </c>
      <c r="T34" s="46">
        <v>0.12</v>
      </c>
      <c r="U34" s="46">
        <v>0.45</v>
      </c>
      <c r="V34" s="102">
        <v>-1.49</v>
      </c>
      <c r="W34" s="102">
        <v>0.16</v>
      </c>
      <c r="X34" s="102">
        <v>7.0000000000000007E-2</v>
      </c>
      <c r="Y34" s="102">
        <v>-0.24</v>
      </c>
      <c r="Z34" s="102">
        <v>-1.51</v>
      </c>
      <c r="AA34" s="102">
        <v>0.54</v>
      </c>
      <c r="AB34" s="102">
        <v>0.04</v>
      </c>
      <c r="AC34" s="105">
        <v>0.03</v>
      </c>
    </row>
    <row r="35" spans="1:29" ht="13.5" customHeight="1" x14ac:dyDescent="0.2">
      <c r="A35" s="21" t="s">
        <v>110</v>
      </c>
      <c r="B35" s="102">
        <v>0</v>
      </c>
      <c r="C35" s="102">
        <v>-0.01</v>
      </c>
      <c r="D35" s="102">
        <v>0</v>
      </c>
      <c r="E35" s="102">
        <v>-0.62</v>
      </c>
      <c r="F35" s="102">
        <v>-1.47</v>
      </c>
      <c r="G35" s="102">
        <v>-0.08</v>
      </c>
      <c r="H35" s="102">
        <v>0.03</v>
      </c>
      <c r="I35" s="102">
        <v>0.02</v>
      </c>
      <c r="J35" s="102">
        <v>0.25</v>
      </c>
      <c r="K35" s="102">
        <v>0.22</v>
      </c>
      <c r="L35" s="102">
        <v>0.09</v>
      </c>
      <c r="M35" s="102">
        <v>-0.05</v>
      </c>
      <c r="N35" s="46">
        <v>6.8665422683498928E-2</v>
      </c>
      <c r="O35" s="46">
        <v>0.05</v>
      </c>
      <c r="P35" s="46">
        <v>0.18</v>
      </c>
      <c r="Q35" s="46">
        <v>0.14000000000000001</v>
      </c>
      <c r="R35" s="46">
        <v>0.13</v>
      </c>
      <c r="S35" s="46">
        <v>0.03</v>
      </c>
      <c r="T35" s="46">
        <v>0.12</v>
      </c>
      <c r="U35" s="46">
        <v>0.44</v>
      </c>
      <c r="V35" s="102">
        <v>-1.26</v>
      </c>
      <c r="W35" s="102">
        <v>0.14000000000000001</v>
      </c>
      <c r="X35" s="102">
        <v>7.0000000000000007E-2</v>
      </c>
      <c r="Y35" s="102">
        <v>-0.19</v>
      </c>
      <c r="Z35" s="102">
        <v>-1.24</v>
      </c>
      <c r="AA35" s="102">
        <v>0.47</v>
      </c>
      <c r="AB35" s="102">
        <v>0.05</v>
      </c>
      <c r="AC35" s="105">
        <v>0.04</v>
      </c>
    </row>
    <row r="36" spans="1:29" ht="12.75" customHeight="1" x14ac:dyDescent="0.2">
      <c r="A36" s="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0"/>
      <c r="P36" s="10"/>
      <c r="Q36" s="12"/>
      <c r="U36" s="10"/>
      <c r="V36" s="19"/>
      <c r="W36" s="19"/>
      <c r="X36" s="19"/>
      <c r="Y36" s="19"/>
      <c r="AA36" s="116"/>
      <c r="AB36" s="116"/>
      <c r="AC36" s="116"/>
    </row>
    <row r="37" spans="1:29" ht="12.75" customHeight="1" x14ac:dyDescent="0.2">
      <c r="A37" s="9" t="s">
        <v>122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4"/>
      <c r="U37" s="15"/>
    </row>
    <row r="38" spans="1:29" ht="12.75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4"/>
      <c r="U38" s="11"/>
    </row>
    <row r="39" spans="1:29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4"/>
      <c r="U39" s="9"/>
    </row>
    <row r="40" spans="1:29" x14ac:dyDescent="0.2">
      <c r="A40" s="9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9"/>
      <c r="M40" s="9"/>
      <c r="N40" s="9"/>
      <c r="O40" s="9"/>
      <c r="P40" s="9"/>
      <c r="Q40" s="14"/>
      <c r="U40" s="9"/>
    </row>
    <row r="41" spans="1:29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4"/>
      <c r="U41" s="9"/>
    </row>
    <row r="42" spans="1:29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4"/>
      <c r="U42" s="9"/>
    </row>
    <row r="43" spans="1:29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4"/>
      <c r="U43" s="9"/>
    </row>
    <row r="44" spans="1:29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4"/>
      <c r="U44" s="9"/>
    </row>
    <row r="45" spans="1:29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4"/>
      <c r="U45" s="9"/>
    </row>
    <row r="46" spans="1:29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4"/>
      <c r="U46" s="9"/>
    </row>
    <row r="47" spans="1:29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4"/>
      <c r="U47" s="9"/>
    </row>
    <row r="48" spans="1:29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4"/>
      <c r="U48" s="9"/>
    </row>
    <row r="49" spans="1:2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U49" s="14"/>
    </row>
  </sheetData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52"/>
  <sheetViews>
    <sheetView showGridLines="0" zoomScaleNormal="100" workbookViewId="0">
      <selection activeCell="X7" sqref="X7"/>
    </sheetView>
  </sheetViews>
  <sheetFormatPr defaultColWidth="8.85546875" defaultRowHeight="13.5" customHeight="1" x14ac:dyDescent="0.2"/>
  <cols>
    <col min="1" max="1" width="41.28515625" style="50" customWidth="1"/>
    <col min="2" max="15" width="10.85546875" style="50" hidden="1" customWidth="1"/>
    <col min="16" max="24" width="10.85546875" style="50" customWidth="1"/>
    <col min="25" max="235" width="8.85546875" style="50"/>
    <col min="236" max="236" width="42" style="50" customWidth="1"/>
    <col min="237" max="237" width="6.42578125" style="50" customWidth="1"/>
    <col min="238" max="240" width="10.28515625" style="50" customWidth="1"/>
    <col min="241" max="241" width="0" style="50" hidden="1" customWidth="1"/>
    <col min="242" max="242" width="10.28515625" style="50" customWidth="1"/>
    <col min="243" max="491" width="8.85546875" style="50"/>
    <col min="492" max="492" width="42" style="50" customWidth="1"/>
    <col min="493" max="493" width="6.42578125" style="50" customWidth="1"/>
    <col min="494" max="496" width="10.28515625" style="50" customWidth="1"/>
    <col min="497" max="497" width="0" style="50" hidden="1" customWidth="1"/>
    <col min="498" max="498" width="10.28515625" style="50" customWidth="1"/>
    <col min="499" max="747" width="8.85546875" style="50"/>
    <col min="748" max="748" width="42" style="50" customWidth="1"/>
    <col min="749" max="749" width="6.42578125" style="50" customWidth="1"/>
    <col min="750" max="752" width="10.28515625" style="50" customWidth="1"/>
    <col min="753" max="753" width="0" style="50" hidden="1" customWidth="1"/>
    <col min="754" max="754" width="10.28515625" style="50" customWidth="1"/>
    <col min="755" max="1003" width="8.85546875" style="50"/>
    <col min="1004" max="1004" width="42" style="50" customWidth="1"/>
    <col min="1005" max="1005" width="6.42578125" style="50" customWidth="1"/>
    <col min="1006" max="1008" width="10.28515625" style="50" customWidth="1"/>
    <col min="1009" max="1009" width="0" style="50" hidden="1" customWidth="1"/>
    <col min="1010" max="1010" width="10.28515625" style="50" customWidth="1"/>
    <col min="1011" max="1259" width="8.85546875" style="50"/>
    <col min="1260" max="1260" width="42" style="50" customWidth="1"/>
    <col min="1261" max="1261" width="6.42578125" style="50" customWidth="1"/>
    <col min="1262" max="1264" width="10.28515625" style="50" customWidth="1"/>
    <col min="1265" max="1265" width="0" style="50" hidden="1" customWidth="1"/>
    <col min="1266" max="1266" width="10.28515625" style="50" customWidth="1"/>
    <col min="1267" max="1515" width="8.85546875" style="50"/>
    <col min="1516" max="1516" width="42" style="50" customWidth="1"/>
    <col min="1517" max="1517" width="6.42578125" style="50" customWidth="1"/>
    <col min="1518" max="1520" width="10.28515625" style="50" customWidth="1"/>
    <col min="1521" max="1521" width="0" style="50" hidden="1" customWidth="1"/>
    <col min="1522" max="1522" width="10.28515625" style="50" customWidth="1"/>
    <col min="1523" max="1771" width="8.85546875" style="50"/>
    <col min="1772" max="1772" width="42" style="50" customWidth="1"/>
    <col min="1773" max="1773" width="6.42578125" style="50" customWidth="1"/>
    <col min="1774" max="1776" width="10.28515625" style="50" customWidth="1"/>
    <col min="1777" max="1777" width="0" style="50" hidden="1" customWidth="1"/>
    <col min="1778" max="1778" width="10.28515625" style="50" customWidth="1"/>
    <col min="1779" max="2027" width="8.85546875" style="50"/>
    <col min="2028" max="2028" width="42" style="50" customWidth="1"/>
    <col min="2029" max="2029" width="6.42578125" style="50" customWidth="1"/>
    <col min="2030" max="2032" width="10.28515625" style="50" customWidth="1"/>
    <col min="2033" max="2033" width="0" style="50" hidden="1" customWidth="1"/>
    <col min="2034" max="2034" width="10.28515625" style="50" customWidth="1"/>
    <col min="2035" max="2283" width="8.85546875" style="50"/>
    <col min="2284" max="2284" width="42" style="50" customWidth="1"/>
    <col min="2285" max="2285" width="6.42578125" style="50" customWidth="1"/>
    <col min="2286" max="2288" width="10.28515625" style="50" customWidth="1"/>
    <col min="2289" max="2289" width="0" style="50" hidden="1" customWidth="1"/>
    <col min="2290" max="2290" width="10.28515625" style="50" customWidth="1"/>
    <col min="2291" max="2539" width="8.85546875" style="50"/>
    <col min="2540" max="2540" width="42" style="50" customWidth="1"/>
    <col min="2541" max="2541" width="6.42578125" style="50" customWidth="1"/>
    <col min="2542" max="2544" width="10.28515625" style="50" customWidth="1"/>
    <col min="2545" max="2545" width="0" style="50" hidden="1" customWidth="1"/>
    <col min="2546" max="2546" width="10.28515625" style="50" customWidth="1"/>
    <col min="2547" max="2795" width="8.85546875" style="50"/>
    <col min="2796" max="2796" width="42" style="50" customWidth="1"/>
    <col min="2797" max="2797" width="6.42578125" style="50" customWidth="1"/>
    <col min="2798" max="2800" width="10.28515625" style="50" customWidth="1"/>
    <col min="2801" max="2801" width="0" style="50" hidden="1" customWidth="1"/>
    <col min="2802" max="2802" width="10.28515625" style="50" customWidth="1"/>
    <col min="2803" max="3051" width="8.85546875" style="50"/>
    <col min="3052" max="3052" width="42" style="50" customWidth="1"/>
    <col min="3053" max="3053" width="6.42578125" style="50" customWidth="1"/>
    <col min="3054" max="3056" width="10.28515625" style="50" customWidth="1"/>
    <col min="3057" max="3057" width="0" style="50" hidden="1" customWidth="1"/>
    <col min="3058" max="3058" width="10.28515625" style="50" customWidth="1"/>
    <col min="3059" max="3307" width="8.85546875" style="50"/>
    <col min="3308" max="3308" width="42" style="50" customWidth="1"/>
    <col min="3309" max="3309" width="6.42578125" style="50" customWidth="1"/>
    <col min="3310" max="3312" width="10.28515625" style="50" customWidth="1"/>
    <col min="3313" max="3313" width="0" style="50" hidden="1" customWidth="1"/>
    <col min="3314" max="3314" width="10.28515625" style="50" customWidth="1"/>
    <col min="3315" max="3563" width="8.85546875" style="50"/>
    <col min="3564" max="3564" width="42" style="50" customWidth="1"/>
    <col min="3565" max="3565" width="6.42578125" style="50" customWidth="1"/>
    <col min="3566" max="3568" width="10.28515625" style="50" customWidth="1"/>
    <col min="3569" max="3569" width="0" style="50" hidden="1" customWidth="1"/>
    <col min="3570" max="3570" width="10.28515625" style="50" customWidth="1"/>
    <col min="3571" max="3819" width="8.85546875" style="50"/>
    <col min="3820" max="3820" width="42" style="50" customWidth="1"/>
    <col min="3821" max="3821" width="6.42578125" style="50" customWidth="1"/>
    <col min="3822" max="3824" width="10.28515625" style="50" customWidth="1"/>
    <col min="3825" max="3825" width="0" style="50" hidden="1" customWidth="1"/>
    <col min="3826" max="3826" width="10.28515625" style="50" customWidth="1"/>
    <col min="3827" max="4075" width="8.85546875" style="50"/>
    <col min="4076" max="4076" width="42" style="50" customWidth="1"/>
    <col min="4077" max="4077" width="6.42578125" style="50" customWidth="1"/>
    <col min="4078" max="4080" width="10.28515625" style="50" customWidth="1"/>
    <col min="4081" max="4081" width="0" style="50" hidden="1" customWidth="1"/>
    <col min="4082" max="4082" width="10.28515625" style="50" customWidth="1"/>
    <col min="4083" max="4331" width="8.85546875" style="50"/>
    <col min="4332" max="4332" width="42" style="50" customWidth="1"/>
    <col min="4333" max="4333" width="6.42578125" style="50" customWidth="1"/>
    <col min="4334" max="4336" width="10.28515625" style="50" customWidth="1"/>
    <col min="4337" max="4337" width="0" style="50" hidden="1" customWidth="1"/>
    <col min="4338" max="4338" width="10.28515625" style="50" customWidth="1"/>
    <col min="4339" max="4587" width="8.85546875" style="50"/>
    <col min="4588" max="4588" width="42" style="50" customWidth="1"/>
    <col min="4589" max="4589" width="6.42578125" style="50" customWidth="1"/>
    <col min="4590" max="4592" width="10.28515625" style="50" customWidth="1"/>
    <col min="4593" max="4593" width="0" style="50" hidden="1" customWidth="1"/>
    <col min="4594" max="4594" width="10.28515625" style="50" customWidth="1"/>
    <col min="4595" max="4843" width="8.85546875" style="50"/>
    <col min="4844" max="4844" width="42" style="50" customWidth="1"/>
    <col min="4845" max="4845" width="6.42578125" style="50" customWidth="1"/>
    <col min="4846" max="4848" width="10.28515625" style="50" customWidth="1"/>
    <col min="4849" max="4849" width="0" style="50" hidden="1" customWidth="1"/>
    <col min="4850" max="4850" width="10.28515625" style="50" customWidth="1"/>
    <col min="4851" max="5099" width="8.85546875" style="50"/>
    <col min="5100" max="5100" width="42" style="50" customWidth="1"/>
    <col min="5101" max="5101" width="6.42578125" style="50" customWidth="1"/>
    <col min="5102" max="5104" width="10.28515625" style="50" customWidth="1"/>
    <col min="5105" max="5105" width="0" style="50" hidden="1" customWidth="1"/>
    <col min="5106" max="5106" width="10.28515625" style="50" customWidth="1"/>
    <col min="5107" max="5355" width="8.85546875" style="50"/>
    <col min="5356" max="5356" width="42" style="50" customWidth="1"/>
    <col min="5357" max="5357" width="6.42578125" style="50" customWidth="1"/>
    <col min="5358" max="5360" width="10.28515625" style="50" customWidth="1"/>
    <col min="5361" max="5361" width="0" style="50" hidden="1" customWidth="1"/>
    <col min="5362" max="5362" width="10.28515625" style="50" customWidth="1"/>
    <col min="5363" max="5611" width="8.85546875" style="50"/>
    <col min="5612" max="5612" width="42" style="50" customWidth="1"/>
    <col min="5613" max="5613" width="6.42578125" style="50" customWidth="1"/>
    <col min="5614" max="5616" width="10.28515625" style="50" customWidth="1"/>
    <col min="5617" max="5617" width="0" style="50" hidden="1" customWidth="1"/>
    <col min="5618" max="5618" width="10.28515625" style="50" customWidth="1"/>
    <col min="5619" max="5867" width="8.85546875" style="50"/>
    <col min="5868" max="5868" width="42" style="50" customWidth="1"/>
    <col min="5869" max="5869" width="6.42578125" style="50" customWidth="1"/>
    <col min="5870" max="5872" width="10.28515625" style="50" customWidth="1"/>
    <col min="5873" max="5873" width="0" style="50" hidden="1" customWidth="1"/>
    <col min="5874" max="5874" width="10.28515625" style="50" customWidth="1"/>
    <col min="5875" max="6123" width="8.85546875" style="50"/>
    <col min="6124" max="6124" width="42" style="50" customWidth="1"/>
    <col min="6125" max="6125" width="6.42578125" style="50" customWidth="1"/>
    <col min="6126" max="6128" width="10.28515625" style="50" customWidth="1"/>
    <col min="6129" max="6129" width="0" style="50" hidden="1" customWidth="1"/>
    <col min="6130" max="6130" width="10.28515625" style="50" customWidth="1"/>
    <col min="6131" max="6379" width="8.85546875" style="50"/>
    <col min="6380" max="6380" width="42" style="50" customWidth="1"/>
    <col min="6381" max="6381" width="6.42578125" style="50" customWidth="1"/>
    <col min="6382" max="6384" width="10.28515625" style="50" customWidth="1"/>
    <col min="6385" max="6385" width="0" style="50" hidden="1" customWidth="1"/>
    <col min="6386" max="6386" width="10.28515625" style="50" customWidth="1"/>
    <col min="6387" max="6635" width="8.85546875" style="50"/>
    <col min="6636" max="6636" width="42" style="50" customWidth="1"/>
    <col min="6637" max="6637" width="6.42578125" style="50" customWidth="1"/>
    <col min="6638" max="6640" width="10.28515625" style="50" customWidth="1"/>
    <col min="6641" max="6641" width="0" style="50" hidden="1" customWidth="1"/>
    <col min="6642" max="6642" width="10.28515625" style="50" customWidth="1"/>
    <col min="6643" max="6891" width="8.85546875" style="50"/>
    <col min="6892" max="6892" width="42" style="50" customWidth="1"/>
    <col min="6893" max="6893" width="6.42578125" style="50" customWidth="1"/>
    <col min="6894" max="6896" width="10.28515625" style="50" customWidth="1"/>
    <col min="6897" max="6897" width="0" style="50" hidden="1" customWidth="1"/>
    <col min="6898" max="6898" width="10.28515625" style="50" customWidth="1"/>
    <col min="6899" max="7147" width="8.85546875" style="50"/>
    <col min="7148" max="7148" width="42" style="50" customWidth="1"/>
    <col min="7149" max="7149" width="6.42578125" style="50" customWidth="1"/>
    <col min="7150" max="7152" width="10.28515625" style="50" customWidth="1"/>
    <col min="7153" max="7153" width="0" style="50" hidden="1" customWidth="1"/>
    <col min="7154" max="7154" width="10.28515625" style="50" customWidth="1"/>
    <col min="7155" max="7403" width="8.85546875" style="50"/>
    <col min="7404" max="7404" width="42" style="50" customWidth="1"/>
    <col min="7405" max="7405" width="6.42578125" style="50" customWidth="1"/>
    <col min="7406" max="7408" width="10.28515625" style="50" customWidth="1"/>
    <col min="7409" max="7409" width="0" style="50" hidden="1" customWidth="1"/>
    <col min="7410" max="7410" width="10.28515625" style="50" customWidth="1"/>
    <col min="7411" max="7659" width="8.85546875" style="50"/>
    <col min="7660" max="7660" width="42" style="50" customWidth="1"/>
    <col min="7661" max="7661" width="6.42578125" style="50" customWidth="1"/>
    <col min="7662" max="7664" width="10.28515625" style="50" customWidth="1"/>
    <col min="7665" max="7665" width="0" style="50" hidden="1" customWidth="1"/>
    <col min="7666" max="7666" width="10.28515625" style="50" customWidth="1"/>
    <col min="7667" max="7915" width="8.85546875" style="50"/>
    <col min="7916" max="7916" width="42" style="50" customWidth="1"/>
    <col min="7917" max="7917" width="6.42578125" style="50" customWidth="1"/>
    <col min="7918" max="7920" width="10.28515625" style="50" customWidth="1"/>
    <col min="7921" max="7921" width="0" style="50" hidden="1" customWidth="1"/>
    <col min="7922" max="7922" width="10.28515625" style="50" customWidth="1"/>
    <col min="7923" max="8171" width="8.85546875" style="50"/>
    <col min="8172" max="8172" width="42" style="50" customWidth="1"/>
    <col min="8173" max="8173" width="6.42578125" style="50" customWidth="1"/>
    <col min="8174" max="8176" width="10.28515625" style="50" customWidth="1"/>
    <col min="8177" max="8177" width="0" style="50" hidden="1" customWidth="1"/>
    <col min="8178" max="8178" width="10.28515625" style="50" customWidth="1"/>
    <col min="8179" max="8427" width="8.85546875" style="50"/>
    <col min="8428" max="8428" width="42" style="50" customWidth="1"/>
    <col min="8429" max="8429" width="6.42578125" style="50" customWidth="1"/>
    <col min="8430" max="8432" width="10.28515625" style="50" customWidth="1"/>
    <col min="8433" max="8433" width="0" style="50" hidden="1" customWidth="1"/>
    <col min="8434" max="8434" width="10.28515625" style="50" customWidth="1"/>
    <col min="8435" max="8683" width="8.85546875" style="50"/>
    <col min="8684" max="8684" width="42" style="50" customWidth="1"/>
    <col min="8685" max="8685" width="6.42578125" style="50" customWidth="1"/>
    <col min="8686" max="8688" width="10.28515625" style="50" customWidth="1"/>
    <col min="8689" max="8689" width="0" style="50" hidden="1" customWidth="1"/>
    <col min="8690" max="8690" width="10.28515625" style="50" customWidth="1"/>
    <col min="8691" max="8939" width="8.85546875" style="50"/>
    <col min="8940" max="8940" width="42" style="50" customWidth="1"/>
    <col min="8941" max="8941" width="6.42578125" style="50" customWidth="1"/>
    <col min="8942" max="8944" width="10.28515625" style="50" customWidth="1"/>
    <col min="8945" max="8945" width="0" style="50" hidden="1" customWidth="1"/>
    <col min="8946" max="8946" width="10.28515625" style="50" customWidth="1"/>
    <col min="8947" max="9195" width="8.85546875" style="50"/>
    <col min="9196" max="9196" width="42" style="50" customWidth="1"/>
    <col min="9197" max="9197" width="6.42578125" style="50" customWidth="1"/>
    <col min="9198" max="9200" width="10.28515625" style="50" customWidth="1"/>
    <col min="9201" max="9201" width="0" style="50" hidden="1" customWidth="1"/>
    <col min="9202" max="9202" width="10.28515625" style="50" customWidth="1"/>
    <col min="9203" max="9451" width="8.85546875" style="50"/>
    <col min="9452" max="9452" width="42" style="50" customWidth="1"/>
    <col min="9453" max="9453" width="6.42578125" style="50" customWidth="1"/>
    <col min="9454" max="9456" width="10.28515625" style="50" customWidth="1"/>
    <col min="9457" max="9457" width="0" style="50" hidden="1" customWidth="1"/>
    <col min="9458" max="9458" width="10.28515625" style="50" customWidth="1"/>
    <col min="9459" max="9707" width="8.85546875" style="50"/>
    <col min="9708" max="9708" width="42" style="50" customWidth="1"/>
    <col min="9709" max="9709" width="6.42578125" style="50" customWidth="1"/>
    <col min="9710" max="9712" width="10.28515625" style="50" customWidth="1"/>
    <col min="9713" max="9713" width="0" style="50" hidden="1" customWidth="1"/>
    <col min="9714" max="9714" width="10.28515625" style="50" customWidth="1"/>
    <col min="9715" max="9963" width="8.85546875" style="50"/>
    <col min="9964" max="9964" width="42" style="50" customWidth="1"/>
    <col min="9965" max="9965" width="6.42578125" style="50" customWidth="1"/>
    <col min="9966" max="9968" width="10.28515625" style="50" customWidth="1"/>
    <col min="9969" max="9969" width="0" style="50" hidden="1" customWidth="1"/>
    <col min="9970" max="9970" width="10.28515625" style="50" customWidth="1"/>
    <col min="9971" max="10219" width="8.85546875" style="50"/>
    <col min="10220" max="10220" width="42" style="50" customWidth="1"/>
    <col min="10221" max="10221" width="6.42578125" style="50" customWidth="1"/>
    <col min="10222" max="10224" width="10.28515625" style="50" customWidth="1"/>
    <col min="10225" max="10225" width="0" style="50" hidden="1" customWidth="1"/>
    <col min="10226" max="10226" width="10.28515625" style="50" customWidth="1"/>
    <col min="10227" max="10475" width="8.85546875" style="50"/>
    <col min="10476" max="10476" width="42" style="50" customWidth="1"/>
    <col min="10477" max="10477" width="6.42578125" style="50" customWidth="1"/>
    <col min="10478" max="10480" width="10.28515625" style="50" customWidth="1"/>
    <col min="10481" max="10481" width="0" style="50" hidden="1" customWidth="1"/>
    <col min="10482" max="10482" width="10.28515625" style="50" customWidth="1"/>
    <col min="10483" max="10731" width="8.85546875" style="50"/>
    <col min="10732" max="10732" width="42" style="50" customWidth="1"/>
    <col min="10733" max="10733" width="6.42578125" style="50" customWidth="1"/>
    <col min="10734" max="10736" width="10.28515625" style="50" customWidth="1"/>
    <col min="10737" max="10737" width="0" style="50" hidden="1" customWidth="1"/>
    <col min="10738" max="10738" width="10.28515625" style="50" customWidth="1"/>
    <col min="10739" max="10987" width="8.85546875" style="50"/>
    <col min="10988" max="10988" width="42" style="50" customWidth="1"/>
    <col min="10989" max="10989" width="6.42578125" style="50" customWidth="1"/>
    <col min="10990" max="10992" width="10.28515625" style="50" customWidth="1"/>
    <col min="10993" max="10993" width="0" style="50" hidden="1" customWidth="1"/>
    <col min="10994" max="10994" width="10.28515625" style="50" customWidth="1"/>
    <col min="10995" max="11243" width="8.85546875" style="50"/>
    <col min="11244" max="11244" width="42" style="50" customWidth="1"/>
    <col min="11245" max="11245" width="6.42578125" style="50" customWidth="1"/>
    <col min="11246" max="11248" width="10.28515625" style="50" customWidth="1"/>
    <col min="11249" max="11249" width="0" style="50" hidden="1" customWidth="1"/>
    <col min="11250" max="11250" width="10.28515625" style="50" customWidth="1"/>
    <col min="11251" max="11499" width="8.85546875" style="50"/>
    <col min="11500" max="11500" width="42" style="50" customWidth="1"/>
    <col min="11501" max="11501" width="6.42578125" style="50" customWidth="1"/>
    <col min="11502" max="11504" width="10.28515625" style="50" customWidth="1"/>
    <col min="11505" max="11505" width="0" style="50" hidden="1" customWidth="1"/>
    <col min="11506" max="11506" width="10.28515625" style="50" customWidth="1"/>
    <col min="11507" max="11755" width="8.85546875" style="50"/>
    <col min="11756" max="11756" width="42" style="50" customWidth="1"/>
    <col min="11757" max="11757" width="6.42578125" style="50" customWidth="1"/>
    <col min="11758" max="11760" width="10.28515625" style="50" customWidth="1"/>
    <col min="11761" max="11761" width="0" style="50" hidden="1" customWidth="1"/>
    <col min="11762" max="11762" width="10.28515625" style="50" customWidth="1"/>
    <col min="11763" max="12011" width="8.85546875" style="50"/>
    <col min="12012" max="12012" width="42" style="50" customWidth="1"/>
    <col min="12013" max="12013" width="6.42578125" style="50" customWidth="1"/>
    <col min="12014" max="12016" width="10.28515625" style="50" customWidth="1"/>
    <col min="12017" max="12017" width="0" style="50" hidden="1" customWidth="1"/>
    <col min="12018" max="12018" width="10.28515625" style="50" customWidth="1"/>
    <col min="12019" max="12267" width="8.85546875" style="50"/>
    <col min="12268" max="12268" width="42" style="50" customWidth="1"/>
    <col min="12269" max="12269" width="6.42578125" style="50" customWidth="1"/>
    <col min="12270" max="12272" width="10.28515625" style="50" customWidth="1"/>
    <col min="12273" max="12273" width="0" style="50" hidden="1" customWidth="1"/>
    <col min="12274" max="12274" width="10.28515625" style="50" customWidth="1"/>
    <col min="12275" max="12523" width="8.85546875" style="50"/>
    <col min="12524" max="12524" width="42" style="50" customWidth="1"/>
    <col min="12525" max="12525" width="6.42578125" style="50" customWidth="1"/>
    <col min="12526" max="12528" width="10.28515625" style="50" customWidth="1"/>
    <col min="12529" max="12529" width="0" style="50" hidden="1" customWidth="1"/>
    <col min="12530" max="12530" width="10.28515625" style="50" customWidth="1"/>
    <col min="12531" max="12779" width="8.85546875" style="50"/>
    <col min="12780" max="12780" width="42" style="50" customWidth="1"/>
    <col min="12781" max="12781" width="6.42578125" style="50" customWidth="1"/>
    <col min="12782" max="12784" width="10.28515625" style="50" customWidth="1"/>
    <col min="12785" max="12785" width="0" style="50" hidden="1" customWidth="1"/>
    <col min="12786" max="12786" width="10.28515625" style="50" customWidth="1"/>
    <col min="12787" max="13035" width="8.85546875" style="50"/>
    <col min="13036" max="13036" width="42" style="50" customWidth="1"/>
    <col min="13037" max="13037" width="6.42578125" style="50" customWidth="1"/>
    <col min="13038" max="13040" width="10.28515625" style="50" customWidth="1"/>
    <col min="13041" max="13041" width="0" style="50" hidden="1" customWidth="1"/>
    <col min="13042" max="13042" width="10.28515625" style="50" customWidth="1"/>
    <col min="13043" max="13291" width="8.85546875" style="50"/>
    <col min="13292" max="13292" width="42" style="50" customWidth="1"/>
    <col min="13293" max="13293" width="6.42578125" style="50" customWidth="1"/>
    <col min="13294" max="13296" width="10.28515625" style="50" customWidth="1"/>
    <col min="13297" max="13297" width="0" style="50" hidden="1" customWidth="1"/>
    <col min="13298" max="13298" width="10.28515625" style="50" customWidth="1"/>
    <col min="13299" max="13547" width="8.85546875" style="50"/>
    <col min="13548" max="13548" width="42" style="50" customWidth="1"/>
    <col min="13549" max="13549" width="6.42578125" style="50" customWidth="1"/>
    <col min="13550" max="13552" width="10.28515625" style="50" customWidth="1"/>
    <col min="13553" max="13553" width="0" style="50" hidden="1" customWidth="1"/>
    <col min="13554" max="13554" width="10.28515625" style="50" customWidth="1"/>
    <col min="13555" max="13803" width="8.85546875" style="50"/>
    <col min="13804" max="13804" width="42" style="50" customWidth="1"/>
    <col min="13805" max="13805" width="6.42578125" style="50" customWidth="1"/>
    <col min="13806" max="13808" width="10.28515625" style="50" customWidth="1"/>
    <col min="13809" max="13809" width="0" style="50" hidden="1" customWidth="1"/>
    <col min="13810" max="13810" width="10.28515625" style="50" customWidth="1"/>
    <col min="13811" max="14059" width="8.85546875" style="50"/>
    <col min="14060" max="14060" width="42" style="50" customWidth="1"/>
    <col min="14061" max="14061" width="6.42578125" style="50" customWidth="1"/>
    <col min="14062" max="14064" width="10.28515625" style="50" customWidth="1"/>
    <col min="14065" max="14065" width="0" style="50" hidden="1" customWidth="1"/>
    <col min="14066" max="14066" width="10.28515625" style="50" customWidth="1"/>
    <col min="14067" max="14315" width="8.85546875" style="50"/>
    <col min="14316" max="14316" width="42" style="50" customWidth="1"/>
    <col min="14317" max="14317" width="6.42578125" style="50" customWidth="1"/>
    <col min="14318" max="14320" width="10.28515625" style="50" customWidth="1"/>
    <col min="14321" max="14321" width="0" style="50" hidden="1" customWidth="1"/>
    <col min="14322" max="14322" width="10.28515625" style="50" customWidth="1"/>
    <col min="14323" max="14571" width="8.85546875" style="50"/>
    <col min="14572" max="14572" width="42" style="50" customWidth="1"/>
    <col min="14573" max="14573" width="6.42578125" style="50" customWidth="1"/>
    <col min="14574" max="14576" width="10.28515625" style="50" customWidth="1"/>
    <col min="14577" max="14577" width="0" style="50" hidden="1" customWidth="1"/>
    <col min="14578" max="14578" width="10.28515625" style="50" customWidth="1"/>
    <col min="14579" max="14827" width="8.85546875" style="50"/>
    <col min="14828" max="14828" width="42" style="50" customWidth="1"/>
    <col min="14829" max="14829" width="6.42578125" style="50" customWidth="1"/>
    <col min="14830" max="14832" width="10.28515625" style="50" customWidth="1"/>
    <col min="14833" max="14833" width="0" style="50" hidden="1" customWidth="1"/>
    <col min="14834" max="14834" width="10.28515625" style="50" customWidth="1"/>
    <col min="14835" max="15083" width="8.85546875" style="50"/>
    <col min="15084" max="15084" width="42" style="50" customWidth="1"/>
    <col min="15085" max="15085" width="6.42578125" style="50" customWidth="1"/>
    <col min="15086" max="15088" width="10.28515625" style="50" customWidth="1"/>
    <col min="15089" max="15089" width="0" style="50" hidden="1" customWidth="1"/>
    <col min="15090" max="15090" width="10.28515625" style="50" customWidth="1"/>
    <col min="15091" max="15339" width="8.85546875" style="50"/>
    <col min="15340" max="15340" width="42" style="50" customWidth="1"/>
    <col min="15341" max="15341" width="6.42578125" style="50" customWidth="1"/>
    <col min="15342" max="15344" width="10.28515625" style="50" customWidth="1"/>
    <col min="15345" max="15345" width="0" style="50" hidden="1" customWidth="1"/>
    <col min="15346" max="15346" width="10.28515625" style="50" customWidth="1"/>
    <col min="15347" max="15595" width="8.85546875" style="50"/>
    <col min="15596" max="15596" width="42" style="50" customWidth="1"/>
    <col min="15597" max="15597" width="6.42578125" style="50" customWidth="1"/>
    <col min="15598" max="15600" width="10.28515625" style="50" customWidth="1"/>
    <col min="15601" max="15601" width="0" style="50" hidden="1" customWidth="1"/>
    <col min="15602" max="15602" width="10.28515625" style="50" customWidth="1"/>
    <col min="15603" max="15851" width="8.85546875" style="50"/>
    <col min="15852" max="15852" width="42" style="50" customWidth="1"/>
    <col min="15853" max="15853" width="6.42578125" style="50" customWidth="1"/>
    <col min="15854" max="15856" width="10.28515625" style="50" customWidth="1"/>
    <col min="15857" max="15857" width="0" style="50" hidden="1" customWidth="1"/>
    <col min="15858" max="15858" width="10.28515625" style="50" customWidth="1"/>
    <col min="15859" max="16107" width="8.85546875" style="50"/>
    <col min="16108" max="16108" width="42" style="50" customWidth="1"/>
    <col min="16109" max="16109" width="6.42578125" style="50" customWidth="1"/>
    <col min="16110" max="16112" width="10.28515625" style="50" customWidth="1"/>
    <col min="16113" max="16113" width="0" style="50" hidden="1" customWidth="1"/>
    <col min="16114" max="16114" width="10.28515625" style="50" customWidth="1"/>
    <col min="16115" max="16384" width="8.85546875" style="50"/>
  </cols>
  <sheetData>
    <row r="1" spans="1:24" ht="13.5" customHeight="1" x14ac:dyDescent="0.2">
      <c r="A1" s="47"/>
    </row>
    <row r="2" spans="1:24" ht="13.5" customHeight="1" x14ac:dyDescent="0.2">
      <c r="A2" s="124" t="s">
        <v>22</v>
      </c>
      <c r="B2" s="125" t="s">
        <v>151</v>
      </c>
      <c r="C2" s="125" t="s">
        <v>150</v>
      </c>
      <c r="D2" s="125" t="s">
        <v>149</v>
      </c>
      <c r="E2" s="125" t="s">
        <v>148</v>
      </c>
      <c r="F2" s="125" t="s">
        <v>146</v>
      </c>
      <c r="G2" s="125" t="s">
        <v>145</v>
      </c>
      <c r="H2" s="125" t="s">
        <v>144</v>
      </c>
      <c r="I2" s="125" t="s">
        <v>143</v>
      </c>
      <c r="J2" s="125" t="s">
        <v>152</v>
      </c>
      <c r="K2" s="125" t="s">
        <v>76</v>
      </c>
      <c r="L2" s="125" t="s">
        <v>77</v>
      </c>
      <c r="M2" s="125" t="s">
        <v>78</v>
      </c>
      <c r="N2" s="125" t="s">
        <v>94</v>
      </c>
      <c r="O2" s="125" t="s">
        <v>103</v>
      </c>
      <c r="P2" s="125" t="s">
        <v>105</v>
      </c>
      <c r="Q2" s="125" t="s">
        <v>107</v>
      </c>
      <c r="R2" s="125" t="s">
        <v>114</v>
      </c>
      <c r="S2" s="125" t="s">
        <v>131</v>
      </c>
      <c r="T2" s="125" t="s">
        <v>138</v>
      </c>
      <c r="U2" s="125" t="s">
        <v>158</v>
      </c>
      <c r="V2" s="125" t="s">
        <v>164</v>
      </c>
      <c r="W2" s="125" t="s">
        <v>167</v>
      </c>
      <c r="X2" s="125" t="s">
        <v>173</v>
      </c>
    </row>
    <row r="3" spans="1:24" ht="13.5" customHeight="1" x14ac:dyDescent="0.2">
      <c r="A3" s="51" t="s">
        <v>53</v>
      </c>
      <c r="B3" s="53">
        <v>2723.8</v>
      </c>
      <c r="C3" s="53">
        <v>2783.1</v>
      </c>
      <c r="D3" s="53">
        <v>2842.7</v>
      </c>
      <c r="E3" s="53">
        <v>2639.5</v>
      </c>
      <c r="F3" s="53">
        <v>2637.4</v>
      </c>
      <c r="G3" s="53">
        <v>2618</v>
      </c>
      <c r="H3" s="53">
        <v>2734.3</v>
      </c>
      <c r="I3" s="53">
        <v>2808.4</v>
      </c>
      <c r="J3" s="53">
        <v>2778.2</v>
      </c>
      <c r="K3" s="53">
        <v>2743.1</v>
      </c>
      <c r="L3" s="53">
        <f t="shared" ref="L3" si="0">2681.4-0.2</f>
        <v>2681.2000000000003</v>
      </c>
      <c r="M3" s="53">
        <v>2614.6</v>
      </c>
      <c r="N3" s="53">
        <v>2555.5</v>
      </c>
      <c r="O3" s="53">
        <v>2498.3000000000002</v>
      </c>
      <c r="P3" s="52">
        <v>2431.8000000000002</v>
      </c>
      <c r="Q3" s="52">
        <v>2377.1</v>
      </c>
      <c r="R3" s="52">
        <f>2121.5-14.3</f>
        <v>2107.1999999999998</v>
      </c>
      <c r="S3" s="52">
        <v>2053.5</v>
      </c>
      <c r="T3" s="52">
        <v>2001.1</v>
      </c>
      <c r="U3" s="52">
        <v>1893.1</v>
      </c>
      <c r="V3" s="52">
        <v>1823.5</v>
      </c>
      <c r="W3" s="52">
        <v>1813.4</v>
      </c>
      <c r="X3" s="96">
        <v>1813.5</v>
      </c>
    </row>
    <row r="4" spans="1:24" ht="13.5" customHeight="1" x14ac:dyDescent="0.2">
      <c r="A4" s="51" t="s">
        <v>135</v>
      </c>
      <c r="B4" s="53">
        <v>11</v>
      </c>
      <c r="C4" s="53">
        <v>10.5</v>
      </c>
      <c r="D4" s="53">
        <v>10.6</v>
      </c>
      <c r="E4" s="53">
        <v>10.199999999999999</v>
      </c>
      <c r="F4" s="53">
        <v>10.4</v>
      </c>
      <c r="G4" s="53">
        <v>9.3000000000000007</v>
      </c>
      <c r="H4" s="53">
        <v>9.4</v>
      </c>
      <c r="I4" s="53">
        <v>10.1</v>
      </c>
      <c r="J4" s="53">
        <v>10.199999999999999</v>
      </c>
      <c r="K4" s="53">
        <v>10.6</v>
      </c>
      <c r="L4" s="53">
        <v>12</v>
      </c>
      <c r="M4" s="53">
        <v>13.3</v>
      </c>
      <c r="N4" s="53">
        <v>13.3</v>
      </c>
      <c r="O4" s="53">
        <v>14.1</v>
      </c>
      <c r="P4" s="52">
        <v>14.6</v>
      </c>
      <c r="Q4" s="52">
        <v>16</v>
      </c>
      <c r="R4" s="52">
        <v>4.4000000000000004</v>
      </c>
      <c r="S4" s="52">
        <v>4.3</v>
      </c>
      <c r="T4" s="52">
        <v>4.2</v>
      </c>
      <c r="U4" s="52">
        <v>4.0999999999999996</v>
      </c>
      <c r="V4" s="52">
        <v>20.6</v>
      </c>
      <c r="W4" s="52">
        <v>19.100000000000001</v>
      </c>
      <c r="X4" s="96">
        <f>17+1.2</f>
        <v>18.2</v>
      </c>
    </row>
    <row r="5" spans="1:24" ht="13.5" customHeight="1" x14ac:dyDescent="0.2">
      <c r="A5" s="51" t="s">
        <v>160</v>
      </c>
      <c r="B5" s="86">
        <v>0</v>
      </c>
      <c r="C5" s="86">
        <v>0</v>
      </c>
      <c r="D5" s="86">
        <v>0</v>
      </c>
      <c r="E5" s="86">
        <v>0</v>
      </c>
      <c r="F5" s="86">
        <v>0</v>
      </c>
      <c r="G5" s="86">
        <v>0</v>
      </c>
      <c r="H5" s="86">
        <v>0</v>
      </c>
      <c r="I5" s="86">
        <v>0</v>
      </c>
      <c r="J5" s="86">
        <v>0</v>
      </c>
      <c r="K5" s="86">
        <v>0</v>
      </c>
      <c r="L5" s="86">
        <v>0</v>
      </c>
      <c r="M5" s="86">
        <v>0</v>
      </c>
      <c r="N5" s="53">
        <v>23</v>
      </c>
      <c r="O5" s="53">
        <v>25</v>
      </c>
      <c r="P5" s="52">
        <v>22.4</v>
      </c>
      <c r="Q5" s="52">
        <v>22</v>
      </c>
      <c r="R5" s="52">
        <v>17</v>
      </c>
      <c r="S5" s="52">
        <v>16.2</v>
      </c>
      <c r="T5" s="52">
        <v>15.6</v>
      </c>
      <c r="U5" s="52">
        <v>18.5</v>
      </c>
      <c r="V5" s="52">
        <v>17.100000000000001</v>
      </c>
      <c r="W5" s="52">
        <v>15.4</v>
      </c>
      <c r="X5" s="96">
        <f>14.6+6.6</f>
        <v>21.2</v>
      </c>
    </row>
    <row r="6" spans="1:24" ht="13.5" customHeight="1" x14ac:dyDescent="0.2">
      <c r="A6" s="51" t="s">
        <v>79</v>
      </c>
      <c r="B6" s="86">
        <v>0</v>
      </c>
      <c r="C6" s="86">
        <v>0</v>
      </c>
      <c r="D6" s="86">
        <v>0</v>
      </c>
      <c r="E6" s="86">
        <v>0</v>
      </c>
      <c r="F6" s="86">
        <v>0</v>
      </c>
      <c r="G6" s="86">
        <v>51.2</v>
      </c>
      <c r="H6" s="86">
        <v>55.6</v>
      </c>
      <c r="I6" s="86">
        <v>63.3</v>
      </c>
      <c r="J6" s="53">
        <v>109.4</v>
      </c>
      <c r="K6" s="53">
        <v>150.4</v>
      </c>
      <c r="L6" s="53">
        <v>226.9</v>
      </c>
      <c r="M6" s="53">
        <v>183.4</v>
      </c>
      <c r="N6" s="53">
        <v>188</v>
      </c>
      <c r="O6" s="53">
        <v>184.1</v>
      </c>
      <c r="P6" s="52">
        <v>195.9</v>
      </c>
      <c r="Q6" s="52">
        <v>216.1</v>
      </c>
      <c r="R6" s="86">
        <v>0</v>
      </c>
      <c r="S6" s="86">
        <v>0</v>
      </c>
      <c r="T6" s="86">
        <v>0</v>
      </c>
      <c r="U6" s="86">
        <v>0</v>
      </c>
      <c r="V6" s="86">
        <v>0</v>
      </c>
      <c r="W6" s="86">
        <v>0</v>
      </c>
      <c r="X6" s="97">
        <v>0</v>
      </c>
    </row>
    <row r="7" spans="1:24" ht="13.5" customHeight="1" x14ac:dyDescent="0.2">
      <c r="A7" s="51" t="s">
        <v>168</v>
      </c>
      <c r="B7" s="53">
        <v>4.3</v>
      </c>
      <c r="C7" s="53">
        <v>4</v>
      </c>
      <c r="D7" s="53">
        <v>3.9</v>
      </c>
      <c r="E7" s="53">
        <v>3.7</v>
      </c>
      <c r="F7" s="53">
        <v>3.7</v>
      </c>
      <c r="G7" s="53">
        <v>5.8</v>
      </c>
      <c r="H7" s="53">
        <v>5.8</v>
      </c>
      <c r="I7" s="53">
        <v>6.7</v>
      </c>
      <c r="J7" s="53">
        <v>6.9</v>
      </c>
      <c r="K7" s="53">
        <v>8.5</v>
      </c>
      <c r="L7" s="53">
        <v>29</v>
      </c>
      <c r="M7" s="53">
        <v>37.700000000000003</v>
      </c>
      <c r="N7" s="53">
        <v>36.5</v>
      </c>
      <c r="O7" s="53">
        <v>40.4</v>
      </c>
      <c r="P7" s="52">
        <v>92.5</v>
      </c>
      <c r="Q7" s="52">
        <v>101.1</v>
      </c>
      <c r="R7" s="52">
        <v>4.3</v>
      </c>
      <c r="S7" s="52">
        <v>4.3</v>
      </c>
      <c r="T7" s="52">
        <v>3.9</v>
      </c>
      <c r="U7" s="52">
        <v>3.3</v>
      </c>
      <c r="V7" s="52">
        <v>91.8</v>
      </c>
      <c r="W7" s="52">
        <f>108.5-1.6</f>
        <v>106.9</v>
      </c>
      <c r="X7" s="96">
        <f>110.9-1.2-6.6</f>
        <v>103.10000000000001</v>
      </c>
    </row>
    <row r="8" spans="1:24" ht="13.5" customHeight="1" x14ac:dyDescent="0.2">
      <c r="A8" s="51" t="s">
        <v>74</v>
      </c>
      <c r="B8" s="53">
        <v>7.8</v>
      </c>
      <c r="C8" s="53">
        <v>7.8</v>
      </c>
      <c r="D8" s="53">
        <v>8.1</v>
      </c>
      <c r="E8" s="53">
        <v>7.8</v>
      </c>
      <c r="F8" s="53">
        <v>7.8</v>
      </c>
      <c r="G8" s="53">
        <v>7.5</v>
      </c>
      <c r="H8" s="53">
        <v>7.5</v>
      </c>
      <c r="I8" s="53">
        <v>7.9</v>
      </c>
      <c r="J8" s="53">
        <v>8.3000000000000007</v>
      </c>
      <c r="K8" s="53">
        <v>8.5</v>
      </c>
      <c r="L8" s="53">
        <v>8.6</v>
      </c>
      <c r="M8" s="53">
        <v>9.1999999999999993</v>
      </c>
      <c r="N8" s="53">
        <v>9.6999999999999993</v>
      </c>
      <c r="O8" s="53">
        <v>9.9</v>
      </c>
      <c r="P8" s="52">
        <v>10.1</v>
      </c>
      <c r="Q8" s="52">
        <v>9.8000000000000007</v>
      </c>
      <c r="R8" s="52">
        <f>246.8-4.1-1.2</f>
        <v>241.50000000000003</v>
      </c>
      <c r="S8" s="52">
        <v>239.4</v>
      </c>
      <c r="T8" s="52">
        <v>234.6</v>
      </c>
      <c r="U8" s="52">
        <v>231.6</v>
      </c>
      <c r="V8" s="52">
        <v>239.9</v>
      </c>
      <c r="W8" s="52">
        <v>245.1</v>
      </c>
      <c r="X8" s="96">
        <v>241.4</v>
      </c>
    </row>
    <row r="9" spans="1:24" ht="13.5" customHeight="1" x14ac:dyDescent="0.2">
      <c r="A9" s="51" t="s">
        <v>23</v>
      </c>
      <c r="B9" s="53">
        <v>109.3</v>
      </c>
      <c r="C9" s="53">
        <v>105</v>
      </c>
      <c r="D9" s="53">
        <v>100.6</v>
      </c>
      <c r="E9" s="53">
        <v>96.2</v>
      </c>
      <c r="F9" s="53">
        <v>91.6</v>
      </c>
      <c r="G9" s="53">
        <v>87</v>
      </c>
      <c r="H9" s="53">
        <v>82.3</v>
      </c>
      <c r="I9" s="53">
        <v>77.5</v>
      </c>
      <c r="J9" s="53">
        <v>72.599999999999994</v>
      </c>
      <c r="K9" s="53">
        <v>67.599999999999994</v>
      </c>
      <c r="L9" s="53">
        <v>62.5</v>
      </c>
      <c r="M9" s="53">
        <v>57.3</v>
      </c>
      <c r="N9" s="53">
        <v>52.1</v>
      </c>
      <c r="O9" s="53">
        <v>46.7</v>
      </c>
      <c r="P9" s="52">
        <v>41.2</v>
      </c>
      <c r="Q9" s="52">
        <v>35.6</v>
      </c>
      <c r="R9" s="52">
        <v>30</v>
      </c>
      <c r="S9" s="52">
        <v>24.2</v>
      </c>
      <c r="T9" s="52">
        <v>18.3</v>
      </c>
      <c r="U9" s="52">
        <v>12.3</v>
      </c>
      <c r="V9" s="52">
        <v>6.1</v>
      </c>
      <c r="W9" s="52">
        <v>0</v>
      </c>
      <c r="X9" s="97">
        <v>0</v>
      </c>
    </row>
    <row r="10" spans="1:24" ht="13.5" customHeight="1" x14ac:dyDescent="0.2">
      <c r="A10" s="51" t="s">
        <v>58</v>
      </c>
      <c r="B10" s="53">
        <v>4.0999999999999996</v>
      </c>
      <c r="C10" s="53">
        <v>4</v>
      </c>
      <c r="D10" s="53">
        <v>4.9000000000000004</v>
      </c>
      <c r="E10" s="53">
        <v>2.6</v>
      </c>
      <c r="F10" s="53">
        <v>2.6</v>
      </c>
      <c r="G10" s="53">
        <v>3.2</v>
      </c>
      <c r="H10" s="53">
        <v>3.8</v>
      </c>
      <c r="I10" s="53">
        <v>11.5</v>
      </c>
      <c r="J10" s="53">
        <v>10.5</v>
      </c>
      <c r="K10" s="53">
        <v>10.7</v>
      </c>
      <c r="L10" s="53">
        <v>10.3</v>
      </c>
      <c r="M10" s="53">
        <v>12.5</v>
      </c>
      <c r="N10" s="53">
        <v>12.7</v>
      </c>
      <c r="O10" s="53">
        <v>11.5</v>
      </c>
      <c r="P10" s="52">
        <v>8.5</v>
      </c>
      <c r="Q10" s="52">
        <v>12.3</v>
      </c>
      <c r="R10" s="52">
        <f>16.2-3.4</f>
        <v>12.799999999999999</v>
      </c>
      <c r="S10" s="52">
        <v>14.2</v>
      </c>
      <c r="T10" s="52">
        <v>17.2</v>
      </c>
      <c r="U10" s="52">
        <f>16.6+0.7</f>
        <v>17.3</v>
      </c>
      <c r="V10" s="52">
        <v>65.7</v>
      </c>
      <c r="W10" s="52">
        <v>65.900000000000006</v>
      </c>
      <c r="X10" s="96">
        <v>65.8</v>
      </c>
    </row>
    <row r="11" spans="1:24" ht="13.5" customHeight="1" x14ac:dyDescent="0.2">
      <c r="A11" s="51" t="s">
        <v>56</v>
      </c>
      <c r="B11" s="86">
        <v>0</v>
      </c>
      <c r="C11" s="86">
        <v>0</v>
      </c>
      <c r="D11" s="53">
        <v>2.8</v>
      </c>
      <c r="E11" s="53">
        <v>1.8</v>
      </c>
      <c r="F11" s="53">
        <v>1.9</v>
      </c>
      <c r="G11" s="53">
        <v>1.9</v>
      </c>
      <c r="H11" s="53">
        <v>1.7</v>
      </c>
      <c r="I11" s="53">
        <v>0.5</v>
      </c>
      <c r="J11" s="53">
        <v>0.8</v>
      </c>
      <c r="K11" s="53">
        <v>0.6</v>
      </c>
      <c r="L11" s="53">
        <v>0.5</v>
      </c>
      <c r="M11" s="86">
        <v>0</v>
      </c>
      <c r="N11" s="86">
        <v>0</v>
      </c>
      <c r="O11" s="86">
        <v>0</v>
      </c>
      <c r="P11" s="86">
        <v>0</v>
      </c>
      <c r="Q11" s="86">
        <v>0.2</v>
      </c>
      <c r="R11" s="86">
        <v>0.2</v>
      </c>
      <c r="S11" s="86">
        <v>0.2</v>
      </c>
      <c r="T11" s="86">
        <v>0.2</v>
      </c>
      <c r="U11" s="86">
        <v>0</v>
      </c>
      <c r="V11" s="86">
        <v>0</v>
      </c>
      <c r="W11" s="86">
        <v>0</v>
      </c>
      <c r="X11" s="97">
        <v>0.1</v>
      </c>
    </row>
    <row r="12" spans="1:24" ht="13.5" customHeight="1" x14ac:dyDescent="0.2">
      <c r="A12" s="51" t="s">
        <v>32</v>
      </c>
      <c r="B12" s="53">
        <v>0.6</v>
      </c>
      <c r="C12" s="86">
        <v>0</v>
      </c>
      <c r="D12" s="53">
        <v>0.2</v>
      </c>
      <c r="E12" s="53">
        <v>7.1</v>
      </c>
      <c r="F12" s="53">
        <v>7.4</v>
      </c>
      <c r="G12" s="53">
        <v>5.6</v>
      </c>
      <c r="H12" s="53">
        <v>5.7</v>
      </c>
      <c r="I12" s="53">
        <v>7.7</v>
      </c>
      <c r="J12" s="53">
        <v>15.6</v>
      </c>
      <c r="K12" s="53">
        <v>18</v>
      </c>
      <c r="L12" s="53">
        <v>21.2</v>
      </c>
      <c r="M12" s="53">
        <v>12.9</v>
      </c>
      <c r="N12" s="53">
        <v>6.7</v>
      </c>
      <c r="O12" s="53">
        <v>2.2999999999999998</v>
      </c>
      <c r="P12" s="52">
        <v>0.8</v>
      </c>
      <c r="Q12" s="52">
        <v>5.7</v>
      </c>
      <c r="R12" s="52">
        <v>1</v>
      </c>
      <c r="S12" s="52">
        <v>0.7</v>
      </c>
      <c r="T12" s="52">
        <v>0.4</v>
      </c>
      <c r="U12" s="52">
        <v>4.3</v>
      </c>
      <c r="V12" s="52">
        <v>5.2</v>
      </c>
      <c r="W12" s="52">
        <v>4.4000000000000004</v>
      </c>
      <c r="X12" s="96">
        <v>1.6</v>
      </c>
    </row>
    <row r="13" spans="1:24" ht="13.5" customHeight="1" x14ac:dyDescent="0.2">
      <c r="A13" s="51" t="s">
        <v>51</v>
      </c>
      <c r="B13" s="53">
        <v>3</v>
      </c>
      <c r="C13" s="53">
        <v>2.8</v>
      </c>
      <c r="D13" s="53">
        <v>2.9</v>
      </c>
      <c r="E13" s="53">
        <v>2.4</v>
      </c>
      <c r="F13" s="53">
        <v>3.2</v>
      </c>
      <c r="G13" s="53">
        <v>4</v>
      </c>
      <c r="H13" s="53">
        <v>5.0999999999999996</v>
      </c>
      <c r="I13" s="53">
        <v>5.4</v>
      </c>
      <c r="J13" s="53">
        <v>6.4</v>
      </c>
      <c r="K13" s="53">
        <v>10</v>
      </c>
      <c r="L13" s="53">
        <f t="shared" ref="L13" si="1">15.7-13.1</f>
        <v>2.5999999999999996</v>
      </c>
      <c r="M13" s="53">
        <v>10.8</v>
      </c>
      <c r="N13" s="53">
        <v>8.3000000000000007</v>
      </c>
      <c r="O13" s="53">
        <v>4.9000000000000004</v>
      </c>
      <c r="P13" s="52">
        <v>7.1</v>
      </c>
      <c r="Q13" s="52">
        <v>1.6</v>
      </c>
      <c r="R13" s="52">
        <v>1.2</v>
      </c>
      <c r="S13" s="52">
        <v>1.1000000000000001</v>
      </c>
      <c r="T13" s="52">
        <v>1.3</v>
      </c>
      <c r="U13" s="52">
        <v>1.1000000000000001</v>
      </c>
      <c r="V13" s="52">
        <v>1.8</v>
      </c>
      <c r="W13" s="52">
        <v>1.5</v>
      </c>
      <c r="X13" s="96">
        <v>2.2000000000000002</v>
      </c>
    </row>
    <row r="14" spans="1:24" s="57" customFormat="1" ht="13.5" customHeight="1" x14ac:dyDescent="0.2">
      <c r="A14" s="55" t="s">
        <v>24</v>
      </c>
      <c r="B14" s="56">
        <f t="shared" ref="B14:W14" si="2">SUM(B3:B13)</f>
        <v>2863.9000000000005</v>
      </c>
      <c r="C14" s="56">
        <f t="shared" si="2"/>
        <v>2917.2000000000003</v>
      </c>
      <c r="D14" s="56">
        <f t="shared" si="2"/>
        <v>2976.7</v>
      </c>
      <c r="E14" s="56">
        <f t="shared" si="2"/>
        <v>2771.2999999999997</v>
      </c>
      <c r="F14" s="56">
        <f t="shared" si="2"/>
        <v>2766</v>
      </c>
      <c r="G14" s="56">
        <f t="shared" si="2"/>
        <v>2793.5</v>
      </c>
      <c r="H14" s="56">
        <f t="shared" si="2"/>
        <v>2911.2000000000003</v>
      </c>
      <c r="I14" s="56">
        <f t="shared" si="2"/>
        <v>2999</v>
      </c>
      <c r="J14" s="56">
        <f t="shared" si="2"/>
        <v>3018.9</v>
      </c>
      <c r="K14" s="56">
        <f t="shared" si="2"/>
        <v>3027.9999999999995</v>
      </c>
      <c r="L14" s="56">
        <f t="shared" si="2"/>
        <v>3054.8</v>
      </c>
      <c r="M14" s="56">
        <f t="shared" si="2"/>
        <v>2951.7000000000003</v>
      </c>
      <c r="N14" s="56">
        <f t="shared" si="2"/>
        <v>2905.7999999999997</v>
      </c>
      <c r="O14" s="56">
        <f t="shared" si="2"/>
        <v>2837.2000000000003</v>
      </c>
      <c r="P14" s="56">
        <f t="shared" si="2"/>
        <v>2824.9</v>
      </c>
      <c r="Q14" s="56">
        <f t="shared" si="2"/>
        <v>2797.4999999999995</v>
      </c>
      <c r="R14" s="56">
        <f t="shared" si="2"/>
        <v>2419.6</v>
      </c>
      <c r="S14" s="56">
        <f t="shared" si="2"/>
        <v>2358.0999999999995</v>
      </c>
      <c r="T14" s="56">
        <f t="shared" si="2"/>
        <v>2296.8000000000002</v>
      </c>
      <c r="U14" s="56">
        <f t="shared" si="2"/>
        <v>2185.6000000000004</v>
      </c>
      <c r="V14" s="56">
        <f t="shared" si="2"/>
        <v>2271.6999999999994</v>
      </c>
      <c r="W14" s="56">
        <f t="shared" si="2"/>
        <v>2271.7000000000003</v>
      </c>
      <c r="X14" s="98">
        <f t="shared" ref="X14" si="3">SUM(X3:X13)</f>
        <v>2267.1</v>
      </c>
    </row>
    <row r="15" spans="1:24" s="57" customFormat="1" ht="13.5" customHeight="1" x14ac:dyDescent="0.2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99"/>
    </row>
    <row r="16" spans="1:24" ht="13.5" customHeight="1" x14ac:dyDescent="0.2">
      <c r="A16" s="51" t="s">
        <v>55</v>
      </c>
      <c r="B16" s="53">
        <v>8</v>
      </c>
      <c r="C16" s="53">
        <v>10</v>
      </c>
      <c r="D16" s="53">
        <v>12.6</v>
      </c>
      <c r="E16" s="53">
        <v>13.9</v>
      </c>
      <c r="F16" s="53">
        <v>20.5</v>
      </c>
      <c r="G16" s="53">
        <v>26.2</v>
      </c>
      <c r="H16" s="53">
        <v>30.5</v>
      </c>
      <c r="I16" s="53">
        <v>31.8</v>
      </c>
      <c r="J16" s="53">
        <v>37.1</v>
      </c>
      <c r="K16" s="53">
        <v>44.4</v>
      </c>
      <c r="L16" s="53">
        <v>46.5</v>
      </c>
      <c r="M16" s="53">
        <v>63.8</v>
      </c>
      <c r="N16" s="53">
        <v>56.3</v>
      </c>
      <c r="O16" s="53">
        <v>56.7</v>
      </c>
      <c r="P16" s="52">
        <v>62.7</v>
      </c>
      <c r="Q16" s="52">
        <v>62.6</v>
      </c>
      <c r="R16" s="52">
        <v>50.7</v>
      </c>
      <c r="S16" s="52">
        <v>51.1</v>
      </c>
      <c r="T16" s="52">
        <v>55.4</v>
      </c>
      <c r="U16" s="52">
        <v>34.5</v>
      </c>
      <c r="V16" s="52">
        <v>34.4</v>
      </c>
      <c r="W16" s="52">
        <v>31.8</v>
      </c>
      <c r="X16" s="96">
        <v>31.5</v>
      </c>
    </row>
    <row r="17" spans="1:24" ht="13.5" customHeight="1" x14ac:dyDescent="0.2">
      <c r="A17" s="51" t="s">
        <v>25</v>
      </c>
      <c r="B17" s="53">
        <v>404.3</v>
      </c>
      <c r="C17" s="53">
        <v>366.2</v>
      </c>
      <c r="D17" s="53">
        <v>344.2</v>
      </c>
      <c r="E17" s="53">
        <v>475.7</v>
      </c>
      <c r="F17" s="53">
        <v>172.2</v>
      </c>
      <c r="G17" s="53">
        <v>175.3</v>
      </c>
      <c r="H17" s="53">
        <v>169</v>
      </c>
      <c r="I17" s="53">
        <v>245</v>
      </c>
      <c r="J17" s="53">
        <v>171.3</v>
      </c>
      <c r="K17" s="53">
        <v>175.20000000000002</v>
      </c>
      <c r="L17" s="53">
        <f t="shared" ref="L17" si="4">147+13.1</f>
        <v>160.1</v>
      </c>
      <c r="M17" s="53">
        <v>208.5</v>
      </c>
      <c r="N17" s="53">
        <v>247.9</v>
      </c>
      <c r="O17" s="53">
        <v>205.6</v>
      </c>
      <c r="P17" s="52">
        <v>198.7</v>
      </c>
      <c r="Q17" s="52">
        <v>258.10000000000002</v>
      </c>
      <c r="R17" s="52">
        <f>189.7+20</f>
        <v>209.7</v>
      </c>
      <c r="S17" s="52">
        <f>189.9-2.2</f>
        <v>187.70000000000002</v>
      </c>
      <c r="T17" s="52">
        <v>185.3</v>
      </c>
      <c r="U17" s="52">
        <v>224</v>
      </c>
      <c r="V17" s="52">
        <v>250.5</v>
      </c>
      <c r="W17" s="52">
        <v>256.39999999999998</v>
      </c>
      <c r="X17" s="96">
        <v>247.3</v>
      </c>
    </row>
    <row r="18" spans="1:24" ht="13.5" customHeight="1" x14ac:dyDescent="0.2">
      <c r="A18" s="51" t="s">
        <v>32</v>
      </c>
      <c r="B18" s="53">
        <v>1.6</v>
      </c>
      <c r="C18" s="53">
        <v>1.9</v>
      </c>
      <c r="D18" s="53">
        <v>2.2000000000000002</v>
      </c>
      <c r="E18" s="53">
        <v>0.1</v>
      </c>
      <c r="F18" s="53">
        <v>0.3</v>
      </c>
      <c r="G18" s="53">
        <v>0.8</v>
      </c>
      <c r="H18" s="53">
        <v>2.2000000000000002</v>
      </c>
      <c r="I18" s="53">
        <v>1.5</v>
      </c>
      <c r="J18" s="53">
        <v>2.5</v>
      </c>
      <c r="K18" s="53">
        <v>0.5</v>
      </c>
      <c r="L18" s="53">
        <v>0.4</v>
      </c>
      <c r="M18" s="53">
        <v>0</v>
      </c>
      <c r="N18" s="53">
        <v>0.1</v>
      </c>
      <c r="O18" s="53">
        <v>0.2</v>
      </c>
      <c r="P18" s="52">
        <v>0.3</v>
      </c>
      <c r="Q18" s="52">
        <v>0.7</v>
      </c>
      <c r="R18" s="52">
        <v>0.8</v>
      </c>
      <c r="S18" s="52">
        <v>0.5</v>
      </c>
      <c r="T18" s="52">
        <v>0.9</v>
      </c>
      <c r="U18" s="52">
        <v>3.1</v>
      </c>
      <c r="V18" s="52">
        <v>2.1</v>
      </c>
      <c r="W18" s="52">
        <v>1.9</v>
      </c>
      <c r="X18" s="96">
        <v>1.1000000000000001</v>
      </c>
    </row>
    <row r="19" spans="1:24" ht="13.5" customHeight="1" x14ac:dyDescent="0.2">
      <c r="A19" s="51" t="s">
        <v>57</v>
      </c>
      <c r="B19" s="53">
        <v>109.9</v>
      </c>
      <c r="C19" s="53">
        <v>141.80000000000001</v>
      </c>
      <c r="D19" s="53">
        <v>113.1</v>
      </c>
      <c r="E19" s="53">
        <v>106.9</v>
      </c>
      <c r="F19" s="53">
        <v>379.1</v>
      </c>
      <c r="G19" s="53">
        <v>149</v>
      </c>
      <c r="H19" s="53">
        <v>148.6</v>
      </c>
      <c r="I19" s="53">
        <v>145.5</v>
      </c>
      <c r="J19" s="53">
        <v>162.69999999999999</v>
      </c>
      <c r="K19" s="53">
        <v>145</v>
      </c>
      <c r="L19" s="53">
        <v>145.4</v>
      </c>
      <c r="M19" s="53">
        <v>142.1</v>
      </c>
      <c r="N19" s="53">
        <v>177</v>
      </c>
      <c r="O19" s="53">
        <v>265.2</v>
      </c>
      <c r="P19" s="52">
        <v>259.5</v>
      </c>
      <c r="Q19" s="52">
        <v>250.2</v>
      </c>
      <c r="R19" s="52">
        <v>171.8</v>
      </c>
      <c r="S19" s="52">
        <v>206</v>
      </c>
      <c r="T19" s="52">
        <v>141.69999999999999</v>
      </c>
      <c r="U19" s="52">
        <v>139.6</v>
      </c>
      <c r="V19" s="52">
        <v>209.7</v>
      </c>
      <c r="W19" s="52">
        <v>202.6</v>
      </c>
      <c r="X19" s="96">
        <v>243.4</v>
      </c>
    </row>
    <row r="20" spans="1:24" ht="13.5" customHeight="1" x14ac:dyDescent="0.2">
      <c r="A20" s="51" t="s">
        <v>83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50.4</v>
      </c>
      <c r="N20" s="34">
        <v>24</v>
      </c>
      <c r="O20" s="34">
        <v>25.1</v>
      </c>
      <c r="P20" s="34">
        <v>25.5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15.4</v>
      </c>
      <c r="W20" s="34">
        <v>0</v>
      </c>
      <c r="X20" s="36">
        <v>0</v>
      </c>
    </row>
    <row r="21" spans="1:24" ht="13.5" customHeight="1" x14ac:dyDescent="0.2">
      <c r="A21" s="55" t="s">
        <v>26</v>
      </c>
      <c r="B21" s="56">
        <f t="shared" ref="B21:D21" si="5">SUM(B16:B20)</f>
        <v>523.80000000000007</v>
      </c>
      <c r="C21" s="56">
        <f t="shared" si="5"/>
        <v>519.9</v>
      </c>
      <c r="D21" s="56">
        <f t="shared" si="5"/>
        <v>472.1</v>
      </c>
      <c r="E21" s="56">
        <f t="shared" ref="E21:L21" si="6">SUM(E16:E20)</f>
        <v>596.6</v>
      </c>
      <c r="F21" s="56">
        <f t="shared" si="6"/>
        <v>572.1</v>
      </c>
      <c r="G21" s="56">
        <f t="shared" si="6"/>
        <v>351.3</v>
      </c>
      <c r="H21" s="56">
        <f t="shared" si="6"/>
        <v>350.29999999999995</v>
      </c>
      <c r="I21" s="56">
        <f t="shared" si="6"/>
        <v>423.8</v>
      </c>
      <c r="J21" s="56">
        <f t="shared" si="6"/>
        <v>373.6</v>
      </c>
      <c r="K21" s="56">
        <f t="shared" si="6"/>
        <v>365.1</v>
      </c>
      <c r="L21" s="56">
        <f t="shared" si="6"/>
        <v>352.4</v>
      </c>
      <c r="M21" s="56">
        <f t="shared" ref="M21:P21" si="7">SUM(M16:M20)</f>
        <v>464.79999999999995</v>
      </c>
      <c r="N21" s="56">
        <f t="shared" si="7"/>
        <v>505.3</v>
      </c>
      <c r="O21" s="56">
        <f t="shared" si="7"/>
        <v>552.80000000000007</v>
      </c>
      <c r="P21" s="56">
        <f t="shared" si="7"/>
        <v>546.70000000000005</v>
      </c>
      <c r="Q21" s="56">
        <f t="shared" ref="Q21:R21" si="8">SUM(Q16:Q20)</f>
        <v>571.6</v>
      </c>
      <c r="R21" s="56">
        <f t="shared" si="8"/>
        <v>433</v>
      </c>
      <c r="S21" s="56">
        <f t="shared" ref="S21:T21" si="9">SUM(S16:S20)</f>
        <v>445.3</v>
      </c>
      <c r="T21" s="56">
        <f t="shared" si="9"/>
        <v>383.3</v>
      </c>
      <c r="U21" s="56">
        <f t="shared" ref="U21:V21" si="10">SUM(U16:U20)</f>
        <v>401.20000000000005</v>
      </c>
      <c r="V21" s="56">
        <f t="shared" si="10"/>
        <v>512.1</v>
      </c>
      <c r="W21" s="56">
        <f t="shared" ref="W21:X21" si="11">SUM(W16:W20)</f>
        <v>492.69999999999993</v>
      </c>
      <c r="X21" s="98">
        <f t="shared" si="11"/>
        <v>523.30000000000007</v>
      </c>
    </row>
    <row r="22" spans="1:24" ht="13.5" customHeight="1" x14ac:dyDescent="0.2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100"/>
    </row>
    <row r="23" spans="1:24" ht="13.5" customHeight="1" x14ac:dyDescent="0.2">
      <c r="A23" s="55" t="s">
        <v>27</v>
      </c>
      <c r="B23" s="56">
        <f t="shared" ref="B23:D23" si="12">B21+B14</f>
        <v>3387.7000000000007</v>
      </c>
      <c r="C23" s="56">
        <f t="shared" si="12"/>
        <v>3437.1000000000004</v>
      </c>
      <c r="D23" s="56">
        <f t="shared" si="12"/>
        <v>3448.7999999999997</v>
      </c>
      <c r="E23" s="56">
        <f t="shared" ref="E23:L23" si="13">E21+E14</f>
        <v>3367.8999999999996</v>
      </c>
      <c r="F23" s="56">
        <f t="shared" si="13"/>
        <v>3338.1</v>
      </c>
      <c r="G23" s="56">
        <f t="shared" si="13"/>
        <v>3144.8</v>
      </c>
      <c r="H23" s="56">
        <f t="shared" si="13"/>
        <v>3261.5</v>
      </c>
      <c r="I23" s="56">
        <f t="shared" si="13"/>
        <v>3422.8</v>
      </c>
      <c r="J23" s="56">
        <f t="shared" si="13"/>
        <v>3392.5</v>
      </c>
      <c r="K23" s="56">
        <f t="shared" si="13"/>
        <v>3393.0999999999995</v>
      </c>
      <c r="L23" s="56">
        <f t="shared" si="13"/>
        <v>3407.2000000000003</v>
      </c>
      <c r="M23" s="56">
        <f t="shared" ref="M23:P23" si="14">M21+M14</f>
        <v>3416.5</v>
      </c>
      <c r="N23" s="56">
        <f t="shared" si="14"/>
        <v>3411.1</v>
      </c>
      <c r="O23" s="56">
        <f t="shared" si="14"/>
        <v>3390.0000000000005</v>
      </c>
      <c r="P23" s="56">
        <f t="shared" si="14"/>
        <v>3371.6000000000004</v>
      </c>
      <c r="Q23" s="56">
        <f t="shared" ref="Q23:R23" si="15">Q21+Q14</f>
        <v>3369.0999999999995</v>
      </c>
      <c r="R23" s="56">
        <f t="shared" si="15"/>
        <v>2852.6</v>
      </c>
      <c r="S23" s="56">
        <f t="shared" ref="S23:T23" si="16">S21+S14</f>
        <v>2803.3999999999996</v>
      </c>
      <c r="T23" s="56">
        <f t="shared" si="16"/>
        <v>2680.1000000000004</v>
      </c>
      <c r="U23" s="56">
        <f t="shared" ref="U23:V23" si="17">U21+U14</f>
        <v>2586.8000000000002</v>
      </c>
      <c r="V23" s="56">
        <f t="shared" si="17"/>
        <v>2783.7999999999993</v>
      </c>
      <c r="W23" s="56">
        <f t="shared" ref="W23:X23" si="18">W21+W14</f>
        <v>2764.4</v>
      </c>
      <c r="X23" s="98">
        <f t="shared" si="18"/>
        <v>2790.4</v>
      </c>
    </row>
    <row r="24" spans="1:24" ht="13.5" customHeight="1" x14ac:dyDescent="0.2">
      <c r="A24" s="5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</row>
    <row r="25" spans="1:24" ht="13.5" customHeight="1" x14ac:dyDescent="0.2">
      <c r="A25" s="124" t="s">
        <v>28</v>
      </c>
      <c r="B25" s="125" t="s">
        <v>151</v>
      </c>
      <c r="C25" s="125" t="s">
        <v>150</v>
      </c>
      <c r="D25" s="125" t="s">
        <v>149</v>
      </c>
      <c r="E25" s="125" t="s">
        <v>148</v>
      </c>
      <c r="F25" s="125" t="s">
        <v>146</v>
      </c>
      <c r="G25" s="125" t="s">
        <v>145</v>
      </c>
      <c r="H25" s="125" t="s">
        <v>144</v>
      </c>
      <c r="I25" s="125" t="s">
        <v>143</v>
      </c>
      <c r="J25" s="125" t="s">
        <v>152</v>
      </c>
      <c r="K25" s="125" t="s">
        <v>76</v>
      </c>
      <c r="L25" s="125" t="s">
        <v>77</v>
      </c>
      <c r="M25" s="125" t="s">
        <v>78</v>
      </c>
      <c r="N25" s="125" t="s">
        <v>94</v>
      </c>
      <c r="O25" s="125" t="s">
        <v>103</v>
      </c>
      <c r="P25" s="125" t="str">
        <f t="shared" ref="P25:W25" si="19">+P2</f>
        <v>Q3 2019</v>
      </c>
      <c r="Q25" s="125" t="str">
        <f t="shared" si="19"/>
        <v>Q4 2019</v>
      </c>
      <c r="R25" s="125" t="str">
        <f t="shared" si="19"/>
        <v>Q1 2020</v>
      </c>
      <c r="S25" s="125" t="str">
        <f t="shared" si="19"/>
        <v>Q2 2020</v>
      </c>
      <c r="T25" s="125" t="str">
        <f t="shared" si="19"/>
        <v>Q3 2020</v>
      </c>
      <c r="U25" s="125" t="str">
        <f t="shared" si="19"/>
        <v>Q4 2020</v>
      </c>
      <c r="V25" s="125" t="str">
        <f t="shared" si="19"/>
        <v>Q1 2021</v>
      </c>
      <c r="W25" s="125" t="str">
        <f t="shared" si="19"/>
        <v>Q2 2021</v>
      </c>
      <c r="X25" s="125" t="str">
        <f t="shared" ref="X25" si="20">+X2</f>
        <v>Q3 2021</v>
      </c>
    </row>
    <row r="26" spans="1:24" ht="13.5" customHeight="1" x14ac:dyDescent="0.2">
      <c r="A26" s="51" t="s">
        <v>62</v>
      </c>
      <c r="B26" s="52">
        <v>948.7</v>
      </c>
      <c r="C26" s="52">
        <v>950.4</v>
      </c>
      <c r="D26" s="52">
        <v>1038.4000000000001</v>
      </c>
      <c r="E26" s="52">
        <v>919.9</v>
      </c>
      <c r="F26" s="52">
        <v>910.1</v>
      </c>
      <c r="G26" s="52">
        <v>918.8</v>
      </c>
      <c r="H26" s="52">
        <v>925.7</v>
      </c>
      <c r="I26" s="52">
        <v>971.5</v>
      </c>
      <c r="J26" s="52">
        <v>987.6</v>
      </c>
      <c r="K26" s="52">
        <v>975.9</v>
      </c>
      <c r="L26" s="52">
        <f t="shared" ref="L26" si="21">985.6-0.2+2</f>
        <v>987.4</v>
      </c>
      <c r="M26" s="52">
        <v>995.6</v>
      </c>
      <c r="N26" s="52">
        <v>1019.8</v>
      </c>
      <c r="O26" s="52">
        <v>1045.5999999999999</v>
      </c>
      <c r="P26" s="52">
        <v>1049.3</v>
      </c>
      <c r="Q26" s="52">
        <v>1119.5999999999999</v>
      </c>
      <c r="R26" s="52">
        <f>783.1+20-14.3-4.1-2.4+1.2-3.4</f>
        <v>780.10000000000014</v>
      </c>
      <c r="S26" s="52">
        <f>793.4-2.2</f>
        <v>791.19999999999993</v>
      </c>
      <c r="T26" s="52">
        <v>797.2</v>
      </c>
      <c r="U26" s="52">
        <f>750-3.5</f>
        <v>746.5</v>
      </c>
      <c r="V26" s="52">
        <v>833.8</v>
      </c>
      <c r="W26" s="52">
        <f>837.6-0.9</f>
        <v>836.7</v>
      </c>
      <c r="X26" s="96">
        <f>832.4-0.5</f>
        <v>831.9</v>
      </c>
    </row>
    <row r="27" spans="1:24" ht="13.5" customHeight="1" x14ac:dyDescent="0.2">
      <c r="A27" s="51" t="s">
        <v>59</v>
      </c>
      <c r="B27" s="86">
        <v>0</v>
      </c>
      <c r="C27" s="86">
        <v>0</v>
      </c>
      <c r="D27" s="86">
        <v>0</v>
      </c>
      <c r="E27" s="86">
        <v>0</v>
      </c>
      <c r="F27" s="86">
        <v>0</v>
      </c>
      <c r="G27" s="86">
        <v>15.8</v>
      </c>
      <c r="H27" s="86">
        <v>15.7</v>
      </c>
      <c r="I27" s="86">
        <v>287.89999999999998</v>
      </c>
      <c r="J27" s="53">
        <v>281.8</v>
      </c>
      <c r="K27" s="53">
        <v>286</v>
      </c>
      <c r="L27" s="53">
        <v>281.3</v>
      </c>
      <c r="M27" s="53">
        <v>325.3</v>
      </c>
      <c r="N27" s="53">
        <v>330.3</v>
      </c>
      <c r="O27" s="53">
        <v>327.8</v>
      </c>
      <c r="P27" s="52">
        <v>324.8</v>
      </c>
      <c r="Q27" s="52">
        <v>338.9</v>
      </c>
      <c r="R27" s="52">
        <v>219.1</v>
      </c>
      <c r="S27" s="52">
        <v>213.3</v>
      </c>
      <c r="T27" s="52">
        <v>207.6</v>
      </c>
      <c r="U27" s="52">
        <v>198.5</v>
      </c>
      <c r="V27" s="52">
        <v>271.7</v>
      </c>
      <c r="W27" s="52">
        <f>267.7-0.7</f>
        <v>267</v>
      </c>
      <c r="X27" s="96">
        <v>257.60000000000002</v>
      </c>
    </row>
    <row r="28" spans="1:24" ht="13.5" customHeight="1" x14ac:dyDescent="0.2">
      <c r="A28" s="55" t="s">
        <v>29</v>
      </c>
      <c r="B28" s="56">
        <f t="shared" ref="B28:D28" si="22">SUM(B26:B27)</f>
        <v>948.7</v>
      </c>
      <c r="C28" s="56">
        <f t="shared" si="22"/>
        <v>950.4</v>
      </c>
      <c r="D28" s="56">
        <f t="shared" si="22"/>
        <v>1038.4000000000001</v>
      </c>
      <c r="E28" s="56">
        <f t="shared" ref="E28:L28" si="23">SUM(E26:E27)</f>
        <v>919.9</v>
      </c>
      <c r="F28" s="56">
        <f t="shared" si="23"/>
        <v>910.1</v>
      </c>
      <c r="G28" s="56">
        <f t="shared" si="23"/>
        <v>934.59999999999991</v>
      </c>
      <c r="H28" s="56">
        <f t="shared" si="23"/>
        <v>941.40000000000009</v>
      </c>
      <c r="I28" s="56">
        <f t="shared" si="23"/>
        <v>1259.4000000000001</v>
      </c>
      <c r="J28" s="56">
        <f t="shared" si="23"/>
        <v>1269.4000000000001</v>
      </c>
      <c r="K28" s="56">
        <f t="shared" si="23"/>
        <v>1261.9000000000001</v>
      </c>
      <c r="L28" s="56">
        <f t="shared" si="23"/>
        <v>1268.7</v>
      </c>
      <c r="M28" s="56">
        <f t="shared" ref="M28:P28" si="24">SUM(M26:M27)</f>
        <v>1320.9</v>
      </c>
      <c r="N28" s="56">
        <f t="shared" si="24"/>
        <v>1350.1</v>
      </c>
      <c r="O28" s="56">
        <f t="shared" si="24"/>
        <v>1373.3999999999999</v>
      </c>
      <c r="P28" s="56">
        <f t="shared" si="24"/>
        <v>1374.1</v>
      </c>
      <c r="Q28" s="56">
        <f t="shared" ref="Q28:R28" si="25">SUM(Q26:Q27)</f>
        <v>1458.5</v>
      </c>
      <c r="R28" s="56">
        <f t="shared" si="25"/>
        <v>999.20000000000016</v>
      </c>
      <c r="S28" s="56">
        <f t="shared" ref="S28:T28" si="26">SUM(S26:S27)</f>
        <v>1004.5</v>
      </c>
      <c r="T28" s="56">
        <f t="shared" si="26"/>
        <v>1004.8000000000001</v>
      </c>
      <c r="U28" s="56">
        <f t="shared" ref="U28:V28" si="27">SUM(U26:U27)</f>
        <v>945</v>
      </c>
      <c r="V28" s="56">
        <f t="shared" si="27"/>
        <v>1105.5</v>
      </c>
      <c r="W28" s="56">
        <f t="shared" ref="W28:X28" si="28">SUM(W26:W27)</f>
        <v>1103.7</v>
      </c>
      <c r="X28" s="98">
        <f t="shared" si="28"/>
        <v>1089.5</v>
      </c>
    </row>
    <row r="29" spans="1:24" ht="13.5" customHeight="1" x14ac:dyDescent="0.2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99"/>
    </row>
    <row r="30" spans="1:24" ht="13.5" customHeight="1" x14ac:dyDescent="0.2">
      <c r="A30" s="51" t="s">
        <v>49</v>
      </c>
      <c r="B30" s="53">
        <v>1405</v>
      </c>
      <c r="C30" s="53">
        <v>1471</v>
      </c>
      <c r="D30" s="53">
        <v>1576.5</v>
      </c>
      <c r="E30" s="53">
        <v>1567.4</v>
      </c>
      <c r="F30" s="53">
        <v>1577.4</v>
      </c>
      <c r="G30" s="53">
        <v>1398.3</v>
      </c>
      <c r="H30" s="53">
        <v>1438.2</v>
      </c>
      <c r="I30" s="53">
        <v>1198</v>
      </c>
      <c r="J30" s="53">
        <v>1117.0999999999999</v>
      </c>
      <c r="K30" s="53">
        <v>1103</v>
      </c>
      <c r="L30" s="53">
        <v>1118.2</v>
      </c>
      <c r="M30" s="53">
        <v>1112.8</v>
      </c>
      <c r="N30" s="53">
        <v>826.4</v>
      </c>
      <c r="O30" s="53">
        <v>1135.9000000000001</v>
      </c>
      <c r="P30" s="52">
        <v>1025.8</v>
      </c>
      <c r="Q30" s="52">
        <v>1025.7</v>
      </c>
      <c r="R30" s="52">
        <v>1120.5</v>
      </c>
      <c r="S30" s="52">
        <v>1101.5</v>
      </c>
      <c r="T30" s="52">
        <v>999.8</v>
      </c>
      <c r="U30" s="52">
        <v>958</v>
      </c>
      <c r="V30" s="52">
        <v>1020.4</v>
      </c>
      <c r="W30" s="52">
        <v>937.5</v>
      </c>
      <c r="X30" s="96">
        <f>930.4+0.4</f>
        <v>930.8</v>
      </c>
    </row>
    <row r="31" spans="1:24" ht="13.5" customHeight="1" x14ac:dyDescent="0.2">
      <c r="A31" s="51" t="s">
        <v>30</v>
      </c>
      <c r="B31" s="52">
        <v>12.3</v>
      </c>
      <c r="C31" s="52">
        <v>12.4</v>
      </c>
      <c r="D31" s="52">
        <v>3.9</v>
      </c>
      <c r="E31" s="52">
        <v>3.6</v>
      </c>
      <c r="F31" s="52">
        <v>3.8</v>
      </c>
      <c r="G31" s="52">
        <v>4.0999999999999996</v>
      </c>
      <c r="H31" s="52">
        <v>4.4000000000000004</v>
      </c>
      <c r="I31" s="52">
        <v>4.2</v>
      </c>
      <c r="J31" s="52">
        <v>4.3</v>
      </c>
      <c r="K31" s="52">
        <v>4.3</v>
      </c>
      <c r="L31" s="52">
        <v>4.3</v>
      </c>
      <c r="M31" s="52">
        <v>4.6000000000000005</v>
      </c>
      <c r="N31" s="52">
        <v>4.5</v>
      </c>
      <c r="O31" s="52">
        <v>4.7</v>
      </c>
      <c r="P31" s="52">
        <v>4.3</v>
      </c>
      <c r="Q31" s="52">
        <v>5.3</v>
      </c>
      <c r="R31" s="52">
        <v>4.4000000000000004</v>
      </c>
      <c r="S31" s="52">
        <v>5</v>
      </c>
      <c r="T31" s="52">
        <v>5</v>
      </c>
      <c r="U31" s="52">
        <v>6</v>
      </c>
      <c r="V31" s="52">
        <v>6.2</v>
      </c>
      <c r="W31" s="52">
        <v>6.2</v>
      </c>
      <c r="X31" s="96">
        <v>6.2</v>
      </c>
    </row>
    <row r="32" spans="1:24" ht="13.5" customHeight="1" x14ac:dyDescent="0.2">
      <c r="A32" s="51" t="s">
        <v>104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52">
        <v>16</v>
      </c>
      <c r="M32" s="52">
        <v>16.2</v>
      </c>
      <c r="N32" s="52">
        <v>14.6</v>
      </c>
      <c r="O32" s="52">
        <v>15.3</v>
      </c>
      <c r="P32" s="52">
        <v>15.5</v>
      </c>
      <c r="Q32" s="52">
        <v>8.9</v>
      </c>
      <c r="R32" s="34">
        <v>0</v>
      </c>
      <c r="S32" s="34">
        <v>0</v>
      </c>
      <c r="T32" s="34">
        <v>0</v>
      </c>
      <c r="U32" s="34">
        <v>0</v>
      </c>
      <c r="V32" s="34">
        <f>1.4-1.4</f>
        <v>0</v>
      </c>
      <c r="W32" s="34">
        <f>1.4-1.4</f>
        <v>0</v>
      </c>
      <c r="X32" s="36">
        <f>1.4-1.4</f>
        <v>0</v>
      </c>
    </row>
    <row r="33" spans="1:24" ht="13.5" customHeight="1" x14ac:dyDescent="0.2">
      <c r="A33" s="51" t="s">
        <v>31</v>
      </c>
      <c r="B33" s="53">
        <v>269.8</v>
      </c>
      <c r="C33" s="53">
        <v>294.2</v>
      </c>
      <c r="D33" s="53">
        <v>300</v>
      </c>
      <c r="E33" s="53">
        <v>296.2</v>
      </c>
      <c r="F33" s="53">
        <v>295.10000000000002</v>
      </c>
      <c r="G33" s="53">
        <v>290</v>
      </c>
      <c r="H33" s="53">
        <v>281.3</v>
      </c>
      <c r="I33" s="53">
        <v>337.9</v>
      </c>
      <c r="J33" s="53">
        <v>338</v>
      </c>
      <c r="K33" s="53">
        <v>290.89999999999998</v>
      </c>
      <c r="L33" s="53">
        <f t="shared" ref="L33" si="29">287.6-16</f>
        <v>271.60000000000002</v>
      </c>
      <c r="M33" s="53">
        <f>268.7-16.2</f>
        <v>252.5</v>
      </c>
      <c r="N33" s="53">
        <f>255.5-14.6</f>
        <v>240.9</v>
      </c>
      <c r="O33" s="53">
        <f>245.3-15.3</f>
        <v>230</v>
      </c>
      <c r="P33" s="52">
        <v>229.6</v>
      </c>
      <c r="Q33" s="52">
        <v>228.7</v>
      </c>
      <c r="R33" s="52">
        <v>253.4</v>
      </c>
      <c r="S33" s="52">
        <v>242</v>
      </c>
      <c r="T33" s="52">
        <v>234.5</v>
      </c>
      <c r="U33" s="52">
        <f>221.5+4.2</f>
        <v>225.7</v>
      </c>
      <c r="V33" s="52">
        <f>235.8+1.4</f>
        <v>237.20000000000002</v>
      </c>
      <c r="W33" s="52">
        <f>295.7+1.4</f>
        <v>297.09999999999997</v>
      </c>
      <c r="X33" s="96">
        <v>362.2</v>
      </c>
    </row>
    <row r="34" spans="1:24" ht="13.5" customHeight="1" x14ac:dyDescent="0.2">
      <c r="A34" s="51" t="s">
        <v>178</v>
      </c>
      <c r="B34" s="34">
        <v>0</v>
      </c>
      <c r="C34" s="86">
        <v>0</v>
      </c>
      <c r="D34" s="86">
        <v>0</v>
      </c>
      <c r="E34" s="34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0</v>
      </c>
      <c r="M34" s="86">
        <v>0</v>
      </c>
      <c r="N34" s="53">
        <v>16.8</v>
      </c>
      <c r="O34" s="53">
        <v>16.600000000000001</v>
      </c>
      <c r="P34" s="52">
        <v>14.4</v>
      </c>
      <c r="Q34" s="52">
        <v>14.8</v>
      </c>
      <c r="R34" s="52">
        <v>13</v>
      </c>
      <c r="S34" s="52">
        <v>12.4</v>
      </c>
      <c r="T34" s="52">
        <v>11.8</v>
      </c>
      <c r="U34" s="52">
        <v>13.7</v>
      </c>
      <c r="V34" s="52">
        <v>12.2</v>
      </c>
      <c r="W34" s="52">
        <v>10.5</v>
      </c>
      <c r="X34" s="96">
        <v>9.5</v>
      </c>
    </row>
    <row r="35" spans="1:24" ht="13.5" customHeight="1" x14ac:dyDescent="0.2">
      <c r="A35" s="51" t="s">
        <v>32</v>
      </c>
      <c r="B35" s="53">
        <v>103.8</v>
      </c>
      <c r="C35" s="53">
        <v>106.5</v>
      </c>
      <c r="D35" s="53">
        <v>139.9</v>
      </c>
      <c r="E35" s="53">
        <v>142.4</v>
      </c>
      <c r="F35" s="53">
        <v>128.80000000000001</v>
      </c>
      <c r="G35" s="53">
        <v>118.8</v>
      </c>
      <c r="H35" s="53">
        <v>98.1</v>
      </c>
      <c r="I35" s="53">
        <v>101.9</v>
      </c>
      <c r="J35" s="53">
        <v>79.8</v>
      </c>
      <c r="K35" s="53">
        <v>92.8</v>
      </c>
      <c r="L35" s="53">
        <v>90.5</v>
      </c>
      <c r="M35" s="53">
        <v>112.9</v>
      </c>
      <c r="N35" s="53">
        <v>89.5</v>
      </c>
      <c r="O35" s="53">
        <v>96.5</v>
      </c>
      <c r="P35" s="52">
        <v>85.6</v>
      </c>
      <c r="Q35" s="52">
        <v>35.5</v>
      </c>
      <c r="R35" s="52">
        <v>86.9</v>
      </c>
      <c r="S35" s="52">
        <v>78.900000000000006</v>
      </c>
      <c r="T35" s="52">
        <v>69.5</v>
      </c>
      <c r="U35" s="52">
        <v>50.6</v>
      </c>
      <c r="V35" s="52">
        <v>26.6</v>
      </c>
      <c r="W35" s="52">
        <v>31.1</v>
      </c>
      <c r="X35" s="96">
        <v>27.1</v>
      </c>
    </row>
    <row r="36" spans="1:24" ht="13.5" customHeight="1" x14ac:dyDescent="0.2">
      <c r="A36" s="55" t="s">
        <v>33</v>
      </c>
      <c r="B36" s="56">
        <f t="shared" ref="B36:D36" si="30">SUM(B30:B35)</f>
        <v>1790.8999999999999</v>
      </c>
      <c r="C36" s="56">
        <f t="shared" si="30"/>
        <v>1884.1000000000001</v>
      </c>
      <c r="D36" s="56">
        <f t="shared" si="30"/>
        <v>2020.3000000000002</v>
      </c>
      <c r="E36" s="56">
        <f t="shared" ref="E36:L36" si="31">SUM(E30:E35)</f>
        <v>2009.6000000000001</v>
      </c>
      <c r="F36" s="56">
        <f t="shared" si="31"/>
        <v>2005.1000000000001</v>
      </c>
      <c r="G36" s="56">
        <f t="shared" si="31"/>
        <v>1811.1999999999998</v>
      </c>
      <c r="H36" s="56">
        <f t="shared" si="31"/>
        <v>1822</v>
      </c>
      <c r="I36" s="56">
        <f t="shared" si="31"/>
        <v>1642</v>
      </c>
      <c r="J36" s="56">
        <f t="shared" si="31"/>
        <v>1539.1999999999998</v>
      </c>
      <c r="K36" s="56">
        <f t="shared" si="31"/>
        <v>1490.9999999999998</v>
      </c>
      <c r="L36" s="56">
        <f t="shared" si="31"/>
        <v>1500.6</v>
      </c>
      <c r="M36" s="56">
        <f t="shared" ref="M36:P36" si="32">SUM(M30:M35)</f>
        <v>1499</v>
      </c>
      <c r="N36" s="56">
        <f t="shared" si="32"/>
        <v>1192.7</v>
      </c>
      <c r="O36" s="56">
        <f t="shared" si="32"/>
        <v>1499</v>
      </c>
      <c r="P36" s="56">
        <f t="shared" si="32"/>
        <v>1375.1999999999998</v>
      </c>
      <c r="Q36" s="56">
        <f t="shared" ref="Q36:R36" si="33">SUM(Q30:Q35)</f>
        <v>1318.9</v>
      </c>
      <c r="R36" s="56">
        <f t="shared" si="33"/>
        <v>1478.2000000000003</v>
      </c>
      <c r="S36" s="56">
        <f t="shared" ref="S36:T36" si="34">SUM(S30:S35)</f>
        <v>1439.8000000000002</v>
      </c>
      <c r="T36" s="56">
        <f t="shared" si="34"/>
        <v>1320.6</v>
      </c>
      <c r="U36" s="56">
        <f t="shared" ref="U36:V36" si="35">SUM(U30:U35)</f>
        <v>1254</v>
      </c>
      <c r="V36" s="56">
        <f t="shared" si="35"/>
        <v>1302.5999999999999</v>
      </c>
      <c r="W36" s="56">
        <f t="shared" ref="W36:X36" si="36">SUM(W30:W35)</f>
        <v>1282.3999999999999</v>
      </c>
      <c r="X36" s="98">
        <f t="shared" si="36"/>
        <v>1335.8</v>
      </c>
    </row>
    <row r="37" spans="1:24" ht="13.5" customHeight="1" x14ac:dyDescent="0.2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99"/>
    </row>
    <row r="38" spans="1:24" ht="13.5" customHeight="1" x14ac:dyDescent="0.2">
      <c r="A38" s="51" t="s">
        <v>34</v>
      </c>
      <c r="B38" s="53">
        <v>242.4</v>
      </c>
      <c r="C38" s="53">
        <v>209.4</v>
      </c>
      <c r="D38" s="53">
        <v>184.7</v>
      </c>
      <c r="E38" s="53">
        <v>227.9</v>
      </c>
      <c r="F38" s="53">
        <v>208.1</v>
      </c>
      <c r="G38" s="53">
        <v>209.7</v>
      </c>
      <c r="H38" s="53">
        <v>222.1</v>
      </c>
      <c r="I38" s="53">
        <v>287.8</v>
      </c>
      <c r="J38" s="53">
        <v>305.8</v>
      </c>
      <c r="K38" s="53">
        <v>370.1</v>
      </c>
      <c r="L38" s="53">
        <f t="shared" ref="L38" si="37">367.9-2</f>
        <v>365.9</v>
      </c>
      <c r="M38" s="53">
        <v>324</v>
      </c>
      <c r="N38" s="53">
        <v>321.60000000000002</v>
      </c>
      <c r="O38" s="53">
        <v>296.8</v>
      </c>
      <c r="P38" s="52">
        <v>304.60000000000002</v>
      </c>
      <c r="Q38" s="52">
        <v>325.60000000000002</v>
      </c>
      <c r="R38" s="52">
        <v>222.3</v>
      </c>
      <c r="S38" s="52">
        <v>209.2</v>
      </c>
      <c r="T38" s="52">
        <v>209</v>
      </c>
      <c r="U38" s="52">
        <v>240.1</v>
      </c>
      <c r="V38" s="52">
        <v>216.2</v>
      </c>
      <c r="W38" s="52">
        <v>227.9</v>
      </c>
      <c r="X38" s="96">
        <v>212.9</v>
      </c>
    </row>
    <row r="39" spans="1:24" ht="13.5" customHeight="1" x14ac:dyDescent="0.2">
      <c r="A39" s="51" t="s">
        <v>32</v>
      </c>
      <c r="B39" s="53">
        <v>45.5</v>
      </c>
      <c r="C39" s="53">
        <v>36.6</v>
      </c>
      <c r="D39" s="53">
        <v>2.7</v>
      </c>
      <c r="E39" s="53">
        <v>10.8</v>
      </c>
      <c r="F39" s="53">
        <v>7.3</v>
      </c>
      <c r="G39" s="53">
        <v>3.2</v>
      </c>
      <c r="H39" s="53">
        <v>1.6</v>
      </c>
      <c r="I39" s="53">
        <v>1.1000000000000001</v>
      </c>
      <c r="J39" s="53">
        <v>0.5</v>
      </c>
      <c r="K39" s="53">
        <v>1</v>
      </c>
      <c r="L39" s="53">
        <v>1.2</v>
      </c>
      <c r="M39" s="53">
        <v>2.2999999999999998</v>
      </c>
      <c r="N39" s="53">
        <v>26.3</v>
      </c>
      <c r="O39" s="53">
        <v>25.2</v>
      </c>
      <c r="P39" s="52">
        <v>63.2</v>
      </c>
      <c r="Q39" s="52">
        <v>23.1</v>
      </c>
      <c r="R39" s="52">
        <v>9.6999999999999993</v>
      </c>
      <c r="S39" s="52">
        <v>6.2</v>
      </c>
      <c r="T39" s="52">
        <v>4.4000000000000004</v>
      </c>
      <c r="U39" s="52">
        <v>2.9</v>
      </c>
      <c r="V39" s="52">
        <v>1.5</v>
      </c>
      <c r="W39" s="52">
        <v>1.7</v>
      </c>
      <c r="X39" s="96">
        <v>3.9</v>
      </c>
    </row>
    <row r="40" spans="1:24" ht="13.5" customHeight="1" x14ac:dyDescent="0.2">
      <c r="A40" s="51" t="s">
        <v>50</v>
      </c>
      <c r="B40" s="53">
        <v>336.2</v>
      </c>
      <c r="C40" s="53">
        <v>331.3</v>
      </c>
      <c r="D40" s="53">
        <v>175.9</v>
      </c>
      <c r="E40" s="53">
        <v>174.4</v>
      </c>
      <c r="F40" s="53">
        <v>179.3</v>
      </c>
      <c r="G40" s="53">
        <v>157.30000000000001</v>
      </c>
      <c r="H40" s="53">
        <v>232.8</v>
      </c>
      <c r="I40" s="53">
        <v>222.8</v>
      </c>
      <c r="J40" s="53">
        <v>266.60000000000002</v>
      </c>
      <c r="K40" s="53">
        <v>260.10000000000002</v>
      </c>
      <c r="L40" s="53">
        <v>260.39999999999998</v>
      </c>
      <c r="M40" s="53">
        <v>260.89999999999998</v>
      </c>
      <c r="N40" s="53">
        <v>502</v>
      </c>
      <c r="O40" s="53">
        <v>175.4</v>
      </c>
      <c r="P40" s="52">
        <v>232.8</v>
      </c>
      <c r="Q40" s="52">
        <v>221.1</v>
      </c>
      <c r="R40" s="52">
        <v>119.5</v>
      </c>
      <c r="S40" s="52">
        <v>119.9</v>
      </c>
      <c r="T40" s="52">
        <v>118.3</v>
      </c>
      <c r="U40" s="52">
        <v>117.7</v>
      </c>
      <c r="V40" s="52">
        <v>120.5</v>
      </c>
      <c r="W40" s="52">
        <v>119.5</v>
      </c>
      <c r="X40" s="96">
        <f>119.6+0.1</f>
        <v>119.69999999999999</v>
      </c>
    </row>
    <row r="41" spans="1:24" ht="13.5" customHeight="1" x14ac:dyDescent="0.2">
      <c r="A41" s="51" t="s">
        <v>179</v>
      </c>
      <c r="B41" s="86">
        <v>0</v>
      </c>
      <c r="C41" s="86">
        <v>0</v>
      </c>
      <c r="D41" s="86">
        <v>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86">
        <v>0</v>
      </c>
      <c r="L41" s="86">
        <v>0</v>
      </c>
      <c r="M41" s="86">
        <v>0</v>
      </c>
      <c r="N41" s="53">
        <v>6.5</v>
      </c>
      <c r="O41" s="53">
        <v>8.9</v>
      </c>
      <c r="P41" s="52">
        <v>8.5</v>
      </c>
      <c r="Q41" s="52">
        <v>8.1999999999999993</v>
      </c>
      <c r="R41" s="52">
        <v>4.7</v>
      </c>
      <c r="S41" s="52">
        <v>4.5999999999999996</v>
      </c>
      <c r="T41" s="52">
        <v>4.5999999999999996</v>
      </c>
      <c r="U41" s="52">
        <v>6.1</v>
      </c>
      <c r="V41" s="52">
        <v>6.1</v>
      </c>
      <c r="W41" s="52">
        <v>6</v>
      </c>
      <c r="X41" s="96">
        <v>6</v>
      </c>
    </row>
    <row r="42" spans="1:24" ht="13.5" customHeight="1" x14ac:dyDescent="0.2">
      <c r="A42" s="51" t="s">
        <v>52</v>
      </c>
      <c r="B42" s="53">
        <v>24</v>
      </c>
      <c r="C42" s="53">
        <v>25.3</v>
      </c>
      <c r="D42" s="53">
        <v>26.8</v>
      </c>
      <c r="E42" s="53">
        <v>25.3</v>
      </c>
      <c r="F42" s="53">
        <v>28.2</v>
      </c>
      <c r="G42" s="53">
        <v>28.8</v>
      </c>
      <c r="H42" s="53">
        <v>41.6</v>
      </c>
      <c r="I42" s="53">
        <v>9.6999999999999993</v>
      </c>
      <c r="J42" s="53">
        <v>11</v>
      </c>
      <c r="K42" s="53">
        <v>9</v>
      </c>
      <c r="L42" s="53">
        <v>10.4</v>
      </c>
      <c r="M42" s="53">
        <v>9.4</v>
      </c>
      <c r="N42" s="53">
        <v>11.9</v>
      </c>
      <c r="O42" s="53">
        <v>11.3</v>
      </c>
      <c r="P42" s="52">
        <v>13.2</v>
      </c>
      <c r="Q42" s="52">
        <v>13.7</v>
      </c>
      <c r="R42" s="52">
        <v>19</v>
      </c>
      <c r="S42" s="52">
        <v>19.2</v>
      </c>
      <c r="T42" s="52">
        <v>18.399999999999999</v>
      </c>
      <c r="U42" s="52">
        <v>21</v>
      </c>
      <c r="V42" s="52">
        <v>31.4</v>
      </c>
      <c r="W42" s="52">
        <v>23.2</v>
      </c>
      <c r="X42" s="96">
        <v>22.6</v>
      </c>
    </row>
    <row r="43" spans="1:24" ht="13.5" customHeight="1" x14ac:dyDescent="0.2">
      <c r="A43" s="55" t="s">
        <v>35</v>
      </c>
      <c r="B43" s="56">
        <f t="shared" ref="B43:D43" si="38">SUM(B38:B42)</f>
        <v>648.09999999999991</v>
      </c>
      <c r="C43" s="56">
        <f t="shared" si="38"/>
        <v>602.59999999999991</v>
      </c>
      <c r="D43" s="56">
        <f t="shared" si="38"/>
        <v>390.09999999999997</v>
      </c>
      <c r="E43" s="56">
        <f t="shared" ref="E43:L43" si="39">SUM(E38:E42)</f>
        <v>438.40000000000003</v>
      </c>
      <c r="F43" s="56">
        <f t="shared" si="39"/>
        <v>422.90000000000003</v>
      </c>
      <c r="G43" s="56">
        <f t="shared" si="39"/>
        <v>399</v>
      </c>
      <c r="H43" s="56">
        <f t="shared" si="39"/>
        <v>498.1</v>
      </c>
      <c r="I43" s="56">
        <f t="shared" si="39"/>
        <v>521.40000000000009</v>
      </c>
      <c r="J43" s="56">
        <f t="shared" si="39"/>
        <v>583.90000000000009</v>
      </c>
      <c r="K43" s="56">
        <f t="shared" si="39"/>
        <v>640.20000000000005</v>
      </c>
      <c r="L43" s="56">
        <f t="shared" si="39"/>
        <v>637.9</v>
      </c>
      <c r="M43" s="56">
        <f t="shared" ref="M43:T43" si="40">SUM(M38:M42)</f>
        <v>596.6</v>
      </c>
      <c r="N43" s="56">
        <f t="shared" si="40"/>
        <v>868.30000000000007</v>
      </c>
      <c r="O43" s="56">
        <f t="shared" si="40"/>
        <v>517.59999999999991</v>
      </c>
      <c r="P43" s="56">
        <f t="shared" si="40"/>
        <v>622.30000000000007</v>
      </c>
      <c r="Q43" s="56">
        <f t="shared" si="40"/>
        <v>591.70000000000016</v>
      </c>
      <c r="R43" s="56">
        <f t="shared" si="40"/>
        <v>375.2</v>
      </c>
      <c r="S43" s="56">
        <f t="shared" si="40"/>
        <v>359.09999999999997</v>
      </c>
      <c r="T43" s="56">
        <f t="shared" si="40"/>
        <v>354.7</v>
      </c>
      <c r="U43" s="56">
        <f t="shared" ref="U43:V43" si="41">SUM(U38:U42)</f>
        <v>387.8</v>
      </c>
      <c r="V43" s="56">
        <f t="shared" si="41"/>
        <v>375.7</v>
      </c>
      <c r="W43" s="56">
        <f t="shared" ref="W43:X43" si="42">SUM(W38:W42)</f>
        <v>378.3</v>
      </c>
      <c r="X43" s="98">
        <f t="shared" si="42"/>
        <v>365.1</v>
      </c>
    </row>
    <row r="44" spans="1:24" ht="13.5" customHeight="1" x14ac:dyDescent="0.2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100"/>
    </row>
    <row r="45" spans="1:24" ht="13.5" customHeight="1" x14ac:dyDescent="0.2">
      <c r="A45" s="55" t="s">
        <v>36</v>
      </c>
      <c r="B45" s="56">
        <f t="shared" ref="B45:D45" si="43">B43+B36</f>
        <v>2439</v>
      </c>
      <c r="C45" s="56">
        <f t="shared" si="43"/>
        <v>2486.6999999999998</v>
      </c>
      <c r="D45" s="56">
        <f t="shared" si="43"/>
        <v>2410.4</v>
      </c>
      <c r="E45" s="56">
        <f t="shared" ref="E45:L45" si="44">E43+E36</f>
        <v>2448</v>
      </c>
      <c r="F45" s="56">
        <f t="shared" si="44"/>
        <v>2428</v>
      </c>
      <c r="G45" s="56">
        <f t="shared" si="44"/>
        <v>2210.1999999999998</v>
      </c>
      <c r="H45" s="56">
        <f t="shared" si="44"/>
        <v>2320.1</v>
      </c>
      <c r="I45" s="56">
        <f t="shared" si="44"/>
        <v>2163.4</v>
      </c>
      <c r="J45" s="56">
        <f t="shared" si="44"/>
        <v>2123.1</v>
      </c>
      <c r="K45" s="56">
        <f t="shared" si="44"/>
        <v>2131.1999999999998</v>
      </c>
      <c r="L45" s="56">
        <f t="shared" si="44"/>
        <v>2138.5</v>
      </c>
      <c r="M45" s="56">
        <f t="shared" ref="M45:T45" si="45">M43+M36</f>
        <v>2095.6</v>
      </c>
      <c r="N45" s="56">
        <f t="shared" si="45"/>
        <v>2061</v>
      </c>
      <c r="O45" s="56">
        <f t="shared" si="45"/>
        <v>2016.6</v>
      </c>
      <c r="P45" s="56">
        <f t="shared" si="45"/>
        <v>1997.5</v>
      </c>
      <c r="Q45" s="56">
        <f t="shared" si="45"/>
        <v>1910.6000000000004</v>
      </c>
      <c r="R45" s="56">
        <f t="shared" si="45"/>
        <v>1853.4000000000003</v>
      </c>
      <c r="S45" s="56">
        <f t="shared" si="45"/>
        <v>1798.9</v>
      </c>
      <c r="T45" s="56">
        <f t="shared" si="45"/>
        <v>1675.3</v>
      </c>
      <c r="U45" s="56">
        <f t="shared" ref="U45:V45" si="46">U43+U36</f>
        <v>1641.8</v>
      </c>
      <c r="V45" s="56">
        <f t="shared" si="46"/>
        <v>1678.3</v>
      </c>
      <c r="W45" s="56">
        <f t="shared" ref="W45:X45" si="47">W43+W36</f>
        <v>1660.6999999999998</v>
      </c>
      <c r="X45" s="98">
        <f t="shared" si="47"/>
        <v>1700.9</v>
      </c>
    </row>
    <row r="46" spans="1:24" ht="13.5" customHeight="1" x14ac:dyDescent="0.2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100"/>
    </row>
    <row r="47" spans="1:24" s="57" customFormat="1" ht="13.5" customHeight="1" x14ac:dyDescent="0.2">
      <c r="A47" s="55" t="s">
        <v>37</v>
      </c>
      <c r="B47" s="56">
        <f t="shared" ref="B47:D47" si="48">B45+B28</f>
        <v>3387.7</v>
      </c>
      <c r="C47" s="56">
        <f t="shared" si="48"/>
        <v>3437.1</v>
      </c>
      <c r="D47" s="56">
        <f t="shared" si="48"/>
        <v>3448.8</v>
      </c>
      <c r="E47" s="56">
        <f t="shared" ref="E47:L47" si="49">E45+E28</f>
        <v>3367.9</v>
      </c>
      <c r="F47" s="56">
        <f t="shared" si="49"/>
        <v>3338.1</v>
      </c>
      <c r="G47" s="56">
        <f t="shared" si="49"/>
        <v>3144.7999999999997</v>
      </c>
      <c r="H47" s="56">
        <f t="shared" si="49"/>
        <v>3261.5</v>
      </c>
      <c r="I47" s="56">
        <f t="shared" si="49"/>
        <v>3422.8</v>
      </c>
      <c r="J47" s="56">
        <f t="shared" si="49"/>
        <v>3392.5</v>
      </c>
      <c r="K47" s="56">
        <f t="shared" si="49"/>
        <v>3393.1</v>
      </c>
      <c r="L47" s="56">
        <f t="shared" si="49"/>
        <v>3407.2</v>
      </c>
      <c r="M47" s="56">
        <f t="shared" ref="M47:T47" si="50">M45+M28</f>
        <v>3416.5</v>
      </c>
      <c r="N47" s="56">
        <f t="shared" si="50"/>
        <v>3411.1</v>
      </c>
      <c r="O47" s="56">
        <f t="shared" si="50"/>
        <v>3390</v>
      </c>
      <c r="P47" s="56">
        <f t="shared" si="50"/>
        <v>3371.6</v>
      </c>
      <c r="Q47" s="56">
        <f t="shared" si="50"/>
        <v>3369.1000000000004</v>
      </c>
      <c r="R47" s="56">
        <f t="shared" si="50"/>
        <v>2852.6000000000004</v>
      </c>
      <c r="S47" s="56">
        <f t="shared" si="50"/>
        <v>2803.4</v>
      </c>
      <c r="T47" s="56">
        <f t="shared" si="50"/>
        <v>2680.1</v>
      </c>
      <c r="U47" s="56">
        <f t="shared" ref="U47:V47" si="51">U45+U28</f>
        <v>2586.8000000000002</v>
      </c>
      <c r="V47" s="56">
        <f t="shared" si="51"/>
        <v>2783.8</v>
      </c>
      <c r="W47" s="56">
        <f t="shared" ref="W47:X47" si="52">W45+W28</f>
        <v>2764.3999999999996</v>
      </c>
      <c r="X47" s="98">
        <f t="shared" si="52"/>
        <v>2790.4</v>
      </c>
    </row>
    <row r="48" spans="1:24" ht="13.5" customHeight="1" x14ac:dyDescent="0.2">
      <c r="A48" s="47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U48" s="57"/>
    </row>
    <row r="49" spans="1:24" ht="13.5" customHeight="1" x14ac:dyDescent="0.2">
      <c r="A49" s="21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</row>
    <row r="50" spans="1:24" ht="13.5" customHeight="1" x14ac:dyDescent="0.2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</row>
    <row r="52" spans="1:24" ht="13.5" customHeight="1" x14ac:dyDescent="0.2"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</row>
  </sheetData>
  <pageMargins left="0.7" right="0.7" top="0.75" bottom="0.75" header="0.3" footer="0.3"/>
  <pageSetup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AC51"/>
  <sheetViews>
    <sheetView showGridLines="0" zoomScaleNormal="100" zoomScalePageLayoutView="115" workbookViewId="0">
      <selection activeCell="AF24" sqref="AF24"/>
    </sheetView>
  </sheetViews>
  <sheetFormatPr defaultColWidth="8.85546875" defaultRowHeight="13.5" customHeight="1" x14ac:dyDescent="0.25"/>
  <cols>
    <col min="1" max="1" width="61.42578125" style="48" customWidth="1"/>
    <col min="2" max="18" width="10.85546875" style="48" hidden="1" customWidth="1"/>
    <col min="19" max="29" width="10.85546875" style="48" customWidth="1"/>
    <col min="30" max="240" width="8.85546875" style="48"/>
    <col min="241" max="241" width="38.28515625" style="48" customWidth="1"/>
    <col min="242" max="242" width="9.7109375" style="48" customWidth="1"/>
    <col min="243" max="245" width="8.28515625" style="48" customWidth="1"/>
    <col min="246" max="246" width="7.42578125" style="48" customWidth="1"/>
    <col min="247" max="247" width="8.7109375" style="48" customWidth="1"/>
    <col min="248" max="496" width="8.85546875" style="48"/>
    <col min="497" max="497" width="38.28515625" style="48" customWidth="1"/>
    <col min="498" max="498" width="9.7109375" style="48" customWidth="1"/>
    <col min="499" max="501" width="8.28515625" style="48" customWidth="1"/>
    <col min="502" max="502" width="7.42578125" style="48" customWidth="1"/>
    <col min="503" max="503" width="8.7109375" style="48" customWidth="1"/>
    <col min="504" max="752" width="8.85546875" style="48"/>
    <col min="753" max="753" width="38.28515625" style="48" customWidth="1"/>
    <col min="754" max="754" width="9.7109375" style="48" customWidth="1"/>
    <col min="755" max="757" width="8.28515625" style="48" customWidth="1"/>
    <col min="758" max="758" width="7.42578125" style="48" customWidth="1"/>
    <col min="759" max="759" width="8.7109375" style="48" customWidth="1"/>
    <col min="760" max="1008" width="8.85546875" style="48"/>
    <col min="1009" max="1009" width="38.28515625" style="48" customWidth="1"/>
    <col min="1010" max="1010" width="9.7109375" style="48" customWidth="1"/>
    <col min="1011" max="1013" width="8.28515625" style="48" customWidth="1"/>
    <col min="1014" max="1014" width="7.42578125" style="48" customWidth="1"/>
    <col min="1015" max="1015" width="8.7109375" style="48" customWidth="1"/>
    <col min="1016" max="1264" width="8.85546875" style="48"/>
    <col min="1265" max="1265" width="38.28515625" style="48" customWidth="1"/>
    <col min="1266" max="1266" width="9.7109375" style="48" customWidth="1"/>
    <col min="1267" max="1269" width="8.28515625" style="48" customWidth="1"/>
    <col min="1270" max="1270" width="7.42578125" style="48" customWidth="1"/>
    <col min="1271" max="1271" width="8.7109375" style="48" customWidth="1"/>
    <col min="1272" max="1520" width="8.85546875" style="48"/>
    <col min="1521" max="1521" width="38.28515625" style="48" customWidth="1"/>
    <col min="1522" max="1522" width="9.7109375" style="48" customWidth="1"/>
    <col min="1523" max="1525" width="8.28515625" style="48" customWidth="1"/>
    <col min="1526" max="1526" width="7.42578125" style="48" customWidth="1"/>
    <col min="1527" max="1527" width="8.7109375" style="48" customWidth="1"/>
    <col min="1528" max="1776" width="8.85546875" style="48"/>
    <col min="1777" max="1777" width="38.28515625" style="48" customWidth="1"/>
    <col min="1778" max="1778" width="9.7109375" style="48" customWidth="1"/>
    <col min="1779" max="1781" width="8.28515625" style="48" customWidth="1"/>
    <col min="1782" max="1782" width="7.42578125" style="48" customWidth="1"/>
    <col min="1783" max="1783" width="8.7109375" style="48" customWidth="1"/>
    <col min="1784" max="2032" width="8.85546875" style="48"/>
    <col min="2033" max="2033" width="38.28515625" style="48" customWidth="1"/>
    <col min="2034" max="2034" width="9.7109375" style="48" customWidth="1"/>
    <col min="2035" max="2037" width="8.28515625" style="48" customWidth="1"/>
    <col min="2038" max="2038" width="7.42578125" style="48" customWidth="1"/>
    <col min="2039" max="2039" width="8.7109375" style="48" customWidth="1"/>
    <col min="2040" max="2288" width="8.85546875" style="48"/>
    <col min="2289" max="2289" width="38.28515625" style="48" customWidth="1"/>
    <col min="2290" max="2290" width="9.7109375" style="48" customWidth="1"/>
    <col min="2291" max="2293" width="8.28515625" style="48" customWidth="1"/>
    <col min="2294" max="2294" width="7.42578125" style="48" customWidth="1"/>
    <col min="2295" max="2295" width="8.7109375" style="48" customWidth="1"/>
    <col min="2296" max="2544" width="8.85546875" style="48"/>
    <col min="2545" max="2545" width="38.28515625" style="48" customWidth="1"/>
    <col min="2546" max="2546" width="9.7109375" style="48" customWidth="1"/>
    <col min="2547" max="2549" width="8.28515625" style="48" customWidth="1"/>
    <col min="2550" max="2550" width="7.42578125" style="48" customWidth="1"/>
    <col min="2551" max="2551" width="8.7109375" style="48" customWidth="1"/>
    <col min="2552" max="2800" width="8.85546875" style="48"/>
    <col min="2801" max="2801" width="38.28515625" style="48" customWidth="1"/>
    <col min="2802" max="2802" width="9.7109375" style="48" customWidth="1"/>
    <col min="2803" max="2805" width="8.28515625" style="48" customWidth="1"/>
    <col min="2806" max="2806" width="7.42578125" style="48" customWidth="1"/>
    <col min="2807" max="2807" width="8.7109375" style="48" customWidth="1"/>
    <col min="2808" max="3056" width="8.85546875" style="48"/>
    <col min="3057" max="3057" width="38.28515625" style="48" customWidth="1"/>
    <col min="3058" max="3058" width="9.7109375" style="48" customWidth="1"/>
    <col min="3059" max="3061" width="8.28515625" style="48" customWidth="1"/>
    <col min="3062" max="3062" width="7.42578125" style="48" customWidth="1"/>
    <col min="3063" max="3063" width="8.7109375" style="48" customWidth="1"/>
    <col min="3064" max="3312" width="8.85546875" style="48"/>
    <col min="3313" max="3313" width="38.28515625" style="48" customWidth="1"/>
    <col min="3314" max="3314" width="9.7109375" style="48" customWidth="1"/>
    <col min="3315" max="3317" width="8.28515625" style="48" customWidth="1"/>
    <col min="3318" max="3318" width="7.42578125" style="48" customWidth="1"/>
    <col min="3319" max="3319" width="8.7109375" style="48" customWidth="1"/>
    <col min="3320" max="3568" width="8.85546875" style="48"/>
    <col min="3569" max="3569" width="38.28515625" style="48" customWidth="1"/>
    <col min="3570" max="3570" width="9.7109375" style="48" customWidth="1"/>
    <col min="3571" max="3573" width="8.28515625" style="48" customWidth="1"/>
    <col min="3574" max="3574" width="7.42578125" style="48" customWidth="1"/>
    <col min="3575" max="3575" width="8.7109375" style="48" customWidth="1"/>
    <col min="3576" max="3824" width="8.85546875" style="48"/>
    <col min="3825" max="3825" width="38.28515625" style="48" customWidth="1"/>
    <col min="3826" max="3826" width="9.7109375" style="48" customWidth="1"/>
    <col min="3827" max="3829" width="8.28515625" style="48" customWidth="1"/>
    <col min="3830" max="3830" width="7.42578125" style="48" customWidth="1"/>
    <col min="3831" max="3831" width="8.7109375" style="48" customWidth="1"/>
    <col min="3832" max="4080" width="8.85546875" style="48"/>
    <col min="4081" max="4081" width="38.28515625" style="48" customWidth="1"/>
    <col min="4082" max="4082" width="9.7109375" style="48" customWidth="1"/>
    <col min="4083" max="4085" width="8.28515625" style="48" customWidth="1"/>
    <col min="4086" max="4086" width="7.42578125" style="48" customWidth="1"/>
    <col min="4087" max="4087" width="8.7109375" style="48" customWidth="1"/>
    <col min="4088" max="4336" width="8.85546875" style="48"/>
    <col min="4337" max="4337" width="38.28515625" style="48" customWidth="1"/>
    <col min="4338" max="4338" width="9.7109375" style="48" customWidth="1"/>
    <col min="4339" max="4341" width="8.28515625" style="48" customWidth="1"/>
    <col min="4342" max="4342" width="7.42578125" style="48" customWidth="1"/>
    <col min="4343" max="4343" width="8.7109375" style="48" customWidth="1"/>
    <col min="4344" max="4592" width="8.85546875" style="48"/>
    <col min="4593" max="4593" width="38.28515625" style="48" customWidth="1"/>
    <col min="4594" max="4594" width="9.7109375" style="48" customWidth="1"/>
    <col min="4595" max="4597" width="8.28515625" style="48" customWidth="1"/>
    <col min="4598" max="4598" width="7.42578125" style="48" customWidth="1"/>
    <col min="4599" max="4599" width="8.7109375" style="48" customWidth="1"/>
    <col min="4600" max="4848" width="8.85546875" style="48"/>
    <col min="4849" max="4849" width="38.28515625" style="48" customWidth="1"/>
    <col min="4850" max="4850" width="9.7109375" style="48" customWidth="1"/>
    <col min="4851" max="4853" width="8.28515625" style="48" customWidth="1"/>
    <col min="4854" max="4854" width="7.42578125" style="48" customWidth="1"/>
    <col min="4855" max="4855" width="8.7109375" style="48" customWidth="1"/>
    <col min="4856" max="5104" width="8.85546875" style="48"/>
    <col min="5105" max="5105" width="38.28515625" style="48" customWidth="1"/>
    <col min="5106" max="5106" width="9.7109375" style="48" customWidth="1"/>
    <col min="5107" max="5109" width="8.28515625" style="48" customWidth="1"/>
    <col min="5110" max="5110" width="7.42578125" style="48" customWidth="1"/>
    <col min="5111" max="5111" width="8.7109375" style="48" customWidth="1"/>
    <col min="5112" max="5360" width="8.85546875" style="48"/>
    <col min="5361" max="5361" width="38.28515625" style="48" customWidth="1"/>
    <col min="5362" max="5362" width="9.7109375" style="48" customWidth="1"/>
    <col min="5363" max="5365" width="8.28515625" style="48" customWidth="1"/>
    <col min="5366" max="5366" width="7.42578125" style="48" customWidth="1"/>
    <col min="5367" max="5367" width="8.7109375" style="48" customWidth="1"/>
    <col min="5368" max="5616" width="8.85546875" style="48"/>
    <col min="5617" max="5617" width="38.28515625" style="48" customWidth="1"/>
    <col min="5618" max="5618" width="9.7109375" style="48" customWidth="1"/>
    <col min="5619" max="5621" width="8.28515625" style="48" customWidth="1"/>
    <col min="5622" max="5622" width="7.42578125" style="48" customWidth="1"/>
    <col min="5623" max="5623" width="8.7109375" style="48" customWidth="1"/>
    <col min="5624" max="5872" width="8.85546875" style="48"/>
    <col min="5873" max="5873" width="38.28515625" style="48" customWidth="1"/>
    <col min="5874" max="5874" width="9.7109375" style="48" customWidth="1"/>
    <col min="5875" max="5877" width="8.28515625" style="48" customWidth="1"/>
    <col min="5878" max="5878" width="7.42578125" style="48" customWidth="1"/>
    <col min="5879" max="5879" width="8.7109375" style="48" customWidth="1"/>
    <col min="5880" max="6128" width="8.85546875" style="48"/>
    <col min="6129" max="6129" width="38.28515625" style="48" customWidth="1"/>
    <col min="6130" max="6130" width="9.7109375" style="48" customWidth="1"/>
    <col min="6131" max="6133" width="8.28515625" style="48" customWidth="1"/>
    <col min="6134" max="6134" width="7.42578125" style="48" customWidth="1"/>
    <col min="6135" max="6135" width="8.7109375" style="48" customWidth="1"/>
    <col min="6136" max="6384" width="8.85546875" style="48"/>
    <col min="6385" max="6385" width="38.28515625" style="48" customWidth="1"/>
    <col min="6386" max="6386" width="9.7109375" style="48" customWidth="1"/>
    <col min="6387" max="6389" width="8.28515625" style="48" customWidth="1"/>
    <col min="6390" max="6390" width="7.42578125" style="48" customWidth="1"/>
    <col min="6391" max="6391" width="8.7109375" style="48" customWidth="1"/>
    <col min="6392" max="6640" width="8.85546875" style="48"/>
    <col min="6641" max="6641" width="38.28515625" style="48" customWidth="1"/>
    <col min="6642" max="6642" width="9.7109375" style="48" customWidth="1"/>
    <col min="6643" max="6645" width="8.28515625" style="48" customWidth="1"/>
    <col min="6646" max="6646" width="7.42578125" style="48" customWidth="1"/>
    <col min="6647" max="6647" width="8.7109375" style="48" customWidth="1"/>
    <col min="6648" max="6896" width="8.85546875" style="48"/>
    <col min="6897" max="6897" width="38.28515625" style="48" customWidth="1"/>
    <col min="6898" max="6898" width="9.7109375" style="48" customWidth="1"/>
    <col min="6899" max="6901" width="8.28515625" style="48" customWidth="1"/>
    <col min="6902" max="6902" width="7.42578125" style="48" customWidth="1"/>
    <col min="6903" max="6903" width="8.7109375" style="48" customWidth="1"/>
    <col min="6904" max="7152" width="8.85546875" style="48"/>
    <col min="7153" max="7153" width="38.28515625" style="48" customWidth="1"/>
    <col min="7154" max="7154" width="9.7109375" style="48" customWidth="1"/>
    <col min="7155" max="7157" width="8.28515625" style="48" customWidth="1"/>
    <col min="7158" max="7158" width="7.42578125" style="48" customWidth="1"/>
    <col min="7159" max="7159" width="8.7109375" style="48" customWidth="1"/>
    <col min="7160" max="7408" width="8.85546875" style="48"/>
    <col min="7409" max="7409" width="38.28515625" style="48" customWidth="1"/>
    <col min="7410" max="7410" width="9.7109375" style="48" customWidth="1"/>
    <col min="7411" max="7413" width="8.28515625" style="48" customWidth="1"/>
    <col min="7414" max="7414" width="7.42578125" style="48" customWidth="1"/>
    <col min="7415" max="7415" width="8.7109375" style="48" customWidth="1"/>
    <col min="7416" max="7664" width="8.85546875" style="48"/>
    <col min="7665" max="7665" width="38.28515625" style="48" customWidth="1"/>
    <col min="7666" max="7666" width="9.7109375" style="48" customWidth="1"/>
    <col min="7667" max="7669" width="8.28515625" style="48" customWidth="1"/>
    <col min="7670" max="7670" width="7.42578125" style="48" customWidth="1"/>
    <col min="7671" max="7671" width="8.7109375" style="48" customWidth="1"/>
    <col min="7672" max="7920" width="8.85546875" style="48"/>
    <col min="7921" max="7921" width="38.28515625" style="48" customWidth="1"/>
    <col min="7922" max="7922" width="9.7109375" style="48" customWidth="1"/>
    <col min="7923" max="7925" width="8.28515625" style="48" customWidth="1"/>
    <col min="7926" max="7926" width="7.42578125" style="48" customWidth="1"/>
    <col min="7927" max="7927" width="8.7109375" style="48" customWidth="1"/>
    <col min="7928" max="8176" width="8.85546875" style="48"/>
    <col min="8177" max="8177" width="38.28515625" style="48" customWidth="1"/>
    <col min="8178" max="8178" width="9.7109375" style="48" customWidth="1"/>
    <col min="8179" max="8181" width="8.28515625" style="48" customWidth="1"/>
    <col min="8182" max="8182" width="7.42578125" style="48" customWidth="1"/>
    <col min="8183" max="8183" width="8.7109375" style="48" customWidth="1"/>
    <col min="8184" max="8432" width="8.85546875" style="48"/>
    <col min="8433" max="8433" width="38.28515625" style="48" customWidth="1"/>
    <col min="8434" max="8434" width="9.7109375" style="48" customWidth="1"/>
    <col min="8435" max="8437" width="8.28515625" style="48" customWidth="1"/>
    <col min="8438" max="8438" width="7.42578125" style="48" customWidth="1"/>
    <col min="8439" max="8439" width="8.7109375" style="48" customWidth="1"/>
    <col min="8440" max="8688" width="8.85546875" style="48"/>
    <col min="8689" max="8689" width="38.28515625" style="48" customWidth="1"/>
    <col min="8690" max="8690" width="9.7109375" style="48" customWidth="1"/>
    <col min="8691" max="8693" width="8.28515625" style="48" customWidth="1"/>
    <col min="8694" max="8694" width="7.42578125" style="48" customWidth="1"/>
    <col min="8695" max="8695" width="8.7109375" style="48" customWidth="1"/>
    <col min="8696" max="8944" width="8.85546875" style="48"/>
    <col min="8945" max="8945" width="38.28515625" style="48" customWidth="1"/>
    <col min="8946" max="8946" width="9.7109375" style="48" customWidth="1"/>
    <col min="8947" max="8949" width="8.28515625" style="48" customWidth="1"/>
    <col min="8950" max="8950" width="7.42578125" style="48" customWidth="1"/>
    <col min="8951" max="8951" width="8.7109375" style="48" customWidth="1"/>
    <col min="8952" max="9200" width="8.85546875" style="48"/>
    <col min="9201" max="9201" width="38.28515625" style="48" customWidth="1"/>
    <col min="9202" max="9202" width="9.7109375" style="48" customWidth="1"/>
    <col min="9203" max="9205" width="8.28515625" style="48" customWidth="1"/>
    <col min="9206" max="9206" width="7.42578125" style="48" customWidth="1"/>
    <col min="9207" max="9207" width="8.7109375" style="48" customWidth="1"/>
    <col min="9208" max="9456" width="8.85546875" style="48"/>
    <col min="9457" max="9457" width="38.28515625" style="48" customWidth="1"/>
    <col min="9458" max="9458" width="9.7109375" style="48" customWidth="1"/>
    <col min="9459" max="9461" width="8.28515625" style="48" customWidth="1"/>
    <col min="9462" max="9462" width="7.42578125" style="48" customWidth="1"/>
    <col min="9463" max="9463" width="8.7109375" style="48" customWidth="1"/>
    <col min="9464" max="9712" width="8.85546875" style="48"/>
    <col min="9713" max="9713" width="38.28515625" style="48" customWidth="1"/>
    <col min="9714" max="9714" width="9.7109375" style="48" customWidth="1"/>
    <col min="9715" max="9717" width="8.28515625" style="48" customWidth="1"/>
    <col min="9718" max="9718" width="7.42578125" style="48" customWidth="1"/>
    <col min="9719" max="9719" width="8.7109375" style="48" customWidth="1"/>
    <col min="9720" max="9968" width="8.85546875" style="48"/>
    <col min="9969" max="9969" width="38.28515625" style="48" customWidth="1"/>
    <col min="9970" max="9970" width="9.7109375" style="48" customWidth="1"/>
    <col min="9971" max="9973" width="8.28515625" style="48" customWidth="1"/>
    <col min="9974" max="9974" width="7.42578125" style="48" customWidth="1"/>
    <col min="9975" max="9975" width="8.7109375" style="48" customWidth="1"/>
    <col min="9976" max="10224" width="8.85546875" style="48"/>
    <col min="10225" max="10225" width="38.28515625" style="48" customWidth="1"/>
    <col min="10226" max="10226" width="9.7109375" style="48" customWidth="1"/>
    <col min="10227" max="10229" width="8.28515625" style="48" customWidth="1"/>
    <col min="10230" max="10230" width="7.42578125" style="48" customWidth="1"/>
    <col min="10231" max="10231" width="8.7109375" style="48" customWidth="1"/>
    <col min="10232" max="10480" width="8.85546875" style="48"/>
    <col min="10481" max="10481" width="38.28515625" style="48" customWidth="1"/>
    <col min="10482" max="10482" width="9.7109375" style="48" customWidth="1"/>
    <col min="10483" max="10485" width="8.28515625" style="48" customWidth="1"/>
    <col min="10486" max="10486" width="7.42578125" style="48" customWidth="1"/>
    <col min="10487" max="10487" width="8.7109375" style="48" customWidth="1"/>
    <col min="10488" max="10736" width="8.85546875" style="48"/>
    <col min="10737" max="10737" width="38.28515625" style="48" customWidth="1"/>
    <col min="10738" max="10738" width="9.7109375" style="48" customWidth="1"/>
    <col min="10739" max="10741" width="8.28515625" style="48" customWidth="1"/>
    <col min="10742" max="10742" width="7.42578125" style="48" customWidth="1"/>
    <col min="10743" max="10743" width="8.7109375" style="48" customWidth="1"/>
    <col min="10744" max="10992" width="8.85546875" style="48"/>
    <col min="10993" max="10993" width="38.28515625" style="48" customWidth="1"/>
    <col min="10994" max="10994" width="9.7109375" style="48" customWidth="1"/>
    <col min="10995" max="10997" width="8.28515625" style="48" customWidth="1"/>
    <col min="10998" max="10998" width="7.42578125" style="48" customWidth="1"/>
    <col min="10999" max="10999" width="8.7109375" style="48" customWidth="1"/>
    <col min="11000" max="11248" width="8.85546875" style="48"/>
    <col min="11249" max="11249" width="38.28515625" style="48" customWidth="1"/>
    <col min="11250" max="11250" width="9.7109375" style="48" customWidth="1"/>
    <col min="11251" max="11253" width="8.28515625" style="48" customWidth="1"/>
    <col min="11254" max="11254" width="7.42578125" style="48" customWidth="1"/>
    <col min="11255" max="11255" width="8.7109375" style="48" customWidth="1"/>
    <col min="11256" max="11504" width="8.85546875" style="48"/>
    <col min="11505" max="11505" width="38.28515625" style="48" customWidth="1"/>
    <col min="11506" max="11506" width="9.7109375" style="48" customWidth="1"/>
    <col min="11507" max="11509" width="8.28515625" style="48" customWidth="1"/>
    <col min="11510" max="11510" width="7.42578125" style="48" customWidth="1"/>
    <col min="11511" max="11511" width="8.7109375" style="48" customWidth="1"/>
    <col min="11512" max="11760" width="8.85546875" style="48"/>
    <col min="11761" max="11761" width="38.28515625" style="48" customWidth="1"/>
    <col min="11762" max="11762" width="9.7109375" style="48" customWidth="1"/>
    <col min="11763" max="11765" width="8.28515625" style="48" customWidth="1"/>
    <col min="11766" max="11766" width="7.42578125" style="48" customWidth="1"/>
    <col min="11767" max="11767" width="8.7109375" style="48" customWidth="1"/>
    <col min="11768" max="12016" width="8.85546875" style="48"/>
    <col min="12017" max="12017" width="38.28515625" style="48" customWidth="1"/>
    <col min="12018" max="12018" width="9.7109375" style="48" customWidth="1"/>
    <col min="12019" max="12021" width="8.28515625" style="48" customWidth="1"/>
    <col min="12022" max="12022" width="7.42578125" style="48" customWidth="1"/>
    <col min="12023" max="12023" width="8.7109375" style="48" customWidth="1"/>
    <col min="12024" max="12272" width="8.85546875" style="48"/>
    <col min="12273" max="12273" width="38.28515625" style="48" customWidth="1"/>
    <col min="12274" max="12274" width="9.7109375" style="48" customWidth="1"/>
    <col min="12275" max="12277" width="8.28515625" style="48" customWidth="1"/>
    <col min="12278" max="12278" width="7.42578125" style="48" customWidth="1"/>
    <col min="12279" max="12279" width="8.7109375" style="48" customWidth="1"/>
    <col min="12280" max="12528" width="8.85546875" style="48"/>
    <col min="12529" max="12529" width="38.28515625" style="48" customWidth="1"/>
    <col min="12530" max="12530" width="9.7109375" style="48" customWidth="1"/>
    <col min="12531" max="12533" width="8.28515625" style="48" customWidth="1"/>
    <col min="12534" max="12534" width="7.42578125" style="48" customWidth="1"/>
    <col min="12535" max="12535" width="8.7109375" style="48" customWidth="1"/>
    <col min="12536" max="12784" width="8.85546875" style="48"/>
    <col min="12785" max="12785" width="38.28515625" style="48" customWidth="1"/>
    <col min="12786" max="12786" width="9.7109375" style="48" customWidth="1"/>
    <col min="12787" max="12789" width="8.28515625" style="48" customWidth="1"/>
    <col min="12790" max="12790" width="7.42578125" style="48" customWidth="1"/>
    <col min="12791" max="12791" width="8.7109375" style="48" customWidth="1"/>
    <col min="12792" max="13040" width="8.85546875" style="48"/>
    <col min="13041" max="13041" width="38.28515625" style="48" customWidth="1"/>
    <col min="13042" max="13042" width="9.7109375" style="48" customWidth="1"/>
    <col min="13043" max="13045" width="8.28515625" style="48" customWidth="1"/>
    <col min="13046" max="13046" width="7.42578125" style="48" customWidth="1"/>
    <col min="13047" max="13047" width="8.7109375" style="48" customWidth="1"/>
    <col min="13048" max="13296" width="8.85546875" style="48"/>
    <col min="13297" max="13297" width="38.28515625" style="48" customWidth="1"/>
    <col min="13298" max="13298" width="9.7109375" style="48" customWidth="1"/>
    <col min="13299" max="13301" width="8.28515625" style="48" customWidth="1"/>
    <col min="13302" max="13302" width="7.42578125" style="48" customWidth="1"/>
    <col min="13303" max="13303" width="8.7109375" style="48" customWidth="1"/>
    <col min="13304" max="13552" width="8.85546875" style="48"/>
    <col min="13553" max="13553" width="38.28515625" style="48" customWidth="1"/>
    <col min="13554" max="13554" width="9.7109375" style="48" customWidth="1"/>
    <col min="13555" max="13557" width="8.28515625" style="48" customWidth="1"/>
    <col min="13558" max="13558" width="7.42578125" style="48" customWidth="1"/>
    <col min="13559" max="13559" width="8.7109375" style="48" customWidth="1"/>
    <col min="13560" max="13808" width="8.85546875" style="48"/>
    <col min="13809" max="13809" width="38.28515625" style="48" customWidth="1"/>
    <col min="13810" max="13810" width="9.7109375" style="48" customWidth="1"/>
    <col min="13811" max="13813" width="8.28515625" style="48" customWidth="1"/>
    <col min="13814" max="13814" width="7.42578125" style="48" customWidth="1"/>
    <col min="13815" max="13815" width="8.7109375" style="48" customWidth="1"/>
    <col min="13816" max="14064" width="8.85546875" style="48"/>
    <col min="14065" max="14065" width="38.28515625" style="48" customWidth="1"/>
    <col min="14066" max="14066" width="9.7109375" style="48" customWidth="1"/>
    <col min="14067" max="14069" width="8.28515625" style="48" customWidth="1"/>
    <col min="14070" max="14070" width="7.42578125" style="48" customWidth="1"/>
    <col min="14071" max="14071" width="8.7109375" style="48" customWidth="1"/>
    <col min="14072" max="14320" width="8.85546875" style="48"/>
    <col min="14321" max="14321" width="38.28515625" style="48" customWidth="1"/>
    <col min="14322" max="14322" width="9.7109375" style="48" customWidth="1"/>
    <col min="14323" max="14325" width="8.28515625" style="48" customWidth="1"/>
    <col min="14326" max="14326" width="7.42578125" style="48" customWidth="1"/>
    <col min="14327" max="14327" width="8.7109375" style="48" customWidth="1"/>
    <col min="14328" max="14576" width="8.85546875" style="48"/>
    <col min="14577" max="14577" width="38.28515625" style="48" customWidth="1"/>
    <col min="14578" max="14578" width="9.7109375" style="48" customWidth="1"/>
    <col min="14579" max="14581" width="8.28515625" style="48" customWidth="1"/>
    <col min="14582" max="14582" width="7.42578125" style="48" customWidth="1"/>
    <col min="14583" max="14583" width="8.7109375" style="48" customWidth="1"/>
    <col min="14584" max="14832" width="8.85546875" style="48"/>
    <col min="14833" max="14833" width="38.28515625" style="48" customWidth="1"/>
    <col min="14834" max="14834" width="9.7109375" style="48" customWidth="1"/>
    <col min="14835" max="14837" width="8.28515625" style="48" customWidth="1"/>
    <col min="14838" max="14838" width="7.42578125" style="48" customWidth="1"/>
    <col min="14839" max="14839" width="8.7109375" style="48" customWidth="1"/>
    <col min="14840" max="15088" width="8.85546875" style="48"/>
    <col min="15089" max="15089" width="38.28515625" style="48" customWidth="1"/>
    <col min="15090" max="15090" width="9.7109375" style="48" customWidth="1"/>
    <col min="15091" max="15093" width="8.28515625" style="48" customWidth="1"/>
    <col min="15094" max="15094" width="7.42578125" style="48" customWidth="1"/>
    <col min="15095" max="15095" width="8.7109375" style="48" customWidth="1"/>
    <col min="15096" max="15344" width="8.85546875" style="48"/>
    <col min="15345" max="15345" width="38.28515625" style="48" customWidth="1"/>
    <col min="15346" max="15346" width="9.7109375" style="48" customWidth="1"/>
    <col min="15347" max="15349" width="8.28515625" style="48" customWidth="1"/>
    <col min="15350" max="15350" width="7.42578125" style="48" customWidth="1"/>
    <col min="15351" max="15351" width="8.7109375" style="48" customWidth="1"/>
    <col min="15352" max="15600" width="8.85546875" style="48"/>
    <col min="15601" max="15601" width="38.28515625" style="48" customWidth="1"/>
    <col min="15602" max="15602" width="9.7109375" style="48" customWidth="1"/>
    <col min="15603" max="15605" width="8.28515625" style="48" customWidth="1"/>
    <col min="15606" max="15606" width="7.42578125" style="48" customWidth="1"/>
    <col min="15607" max="15607" width="8.7109375" style="48" customWidth="1"/>
    <col min="15608" max="15856" width="8.85546875" style="48"/>
    <col min="15857" max="15857" width="38.28515625" style="48" customWidth="1"/>
    <col min="15858" max="15858" width="9.7109375" style="48" customWidth="1"/>
    <col min="15859" max="15861" width="8.28515625" style="48" customWidth="1"/>
    <col min="15862" max="15862" width="7.42578125" style="48" customWidth="1"/>
    <col min="15863" max="15863" width="8.7109375" style="48" customWidth="1"/>
    <col min="15864" max="16112" width="8.85546875" style="48"/>
    <col min="16113" max="16113" width="38.28515625" style="48" customWidth="1"/>
    <col min="16114" max="16114" width="9.7109375" style="48" customWidth="1"/>
    <col min="16115" max="16117" width="8.28515625" style="48" customWidth="1"/>
    <col min="16118" max="16118" width="7.42578125" style="48" customWidth="1"/>
    <col min="16119" max="16119" width="8.7109375" style="48" customWidth="1"/>
    <col min="16120" max="16384" width="8.85546875" style="48"/>
  </cols>
  <sheetData>
    <row r="2" spans="1:29" ht="13.5" customHeight="1" x14ac:dyDescent="0.25">
      <c r="A2" s="126"/>
      <c r="B2" s="123" t="s">
        <v>151</v>
      </c>
      <c r="C2" s="123" t="s">
        <v>150</v>
      </c>
      <c r="D2" s="123" t="s">
        <v>149</v>
      </c>
      <c r="E2" s="123" t="s">
        <v>148</v>
      </c>
      <c r="F2" s="123" t="s">
        <v>147</v>
      </c>
      <c r="G2" s="123" t="s">
        <v>146</v>
      </c>
      <c r="H2" s="123" t="s">
        <v>145</v>
      </c>
      <c r="I2" s="123" t="s">
        <v>144</v>
      </c>
      <c r="J2" s="123" t="s">
        <v>143</v>
      </c>
      <c r="K2" s="123" t="s">
        <v>142</v>
      </c>
      <c r="L2" s="125" t="s">
        <v>152</v>
      </c>
      <c r="M2" s="125" t="s">
        <v>76</v>
      </c>
      <c r="N2" s="125" t="s">
        <v>77</v>
      </c>
      <c r="O2" s="125" t="s">
        <v>78</v>
      </c>
      <c r="P2" s="125" t="s">
        <v>81</v>
      </c>
      <c r="Q2" s="125" t="s">
        <v>94</v>
      </c>
      <c r="R2" s="125" t="s">
        <v>103</v>
      </c>
      <c r="S2" s="125" t="s">
        <v>105</v>
      </c>
      <c r="T2" s="125" t="s">
        <v>107</v>
      </c>
      <c r="U2" s="125" t="s">
        <v>108</v>
      </c>
      <c r="V2" s="125" t="s">
        <v>114</v>
      </c>
      <c r="W2" s="125" t="s">
        <v>131</v>
      </c>
      <c r="X2" s="125" t="s">
        <v>138</v>
      </c>
      <c r="Y2" s="125" t="s">
        <v>158</v>
      </c>
      <c r="Z2" s="125" t="s">
        <v>159</v>
      </c>
      <c r="AA2" s="125" t="s">
        <v>164</v>
      </c>
      <c r="AB2" s="125" t="s">
        <v>167</v>
      </c>
      <c r="AC2" s="125" t="s">
        <v>173</v>
      </c>
    </row>
    <row r="3" spans="1:29" ht="13.5" customHeight="1" x14ac:dyDescent="0.25">
      <c r="A3" s="120" t="s">
        <v>70</v>
      </c>
      <c r="B3" s="128">
        <v>6.8</v>
      </c>
      <c r="C3" s="128">
        <v>6.8</v>
      </c>
      <c r="D3" s="128">
        <v>-4.3</v>
      </c>
      <c r="E3" s="128">
        <v>-109.5</v>
      </c>
      <c r="F3" s="128">
        <v>-100.2</v>
      </c>
      <c r="G3" s="115">
        <v>-6</v>
      </c>
      <c r="H3" s="115">
        <v>14.8</v>
      </c>
      <c r="I3" s="115">
        <v>21.5</v>
      </c>
      <c r="J3" s="115">
        <v>13.2</v>
      </c>
      <c r="K3" s="115">
        <v>43.5</v>
      </c>
      <c r="L3" s="115">
        <v>27.6</v>
      </c>
      <c r="M3" s="115">
        <v>0</v>
      </c>
      <c r="N3" s="115">
        <v>24.8</v>
      </c>
      <c r="O3" s="115">
        <v>24.4</v>
      </c>
      <c r="P3" s="115">
        <v>76.800000000000011</v>
      </c>
      <c r="Q3" s="115">
        <v>53</v>
      </c>
      <c r="R3" s="115">
        <v>50.7</v>
      </c>
      <c r="S3" s="115">
        <v>33.299999999999997</v>
      </c>
      <c r="T3" s="115">
        <v>47.3</v>
      </c>
      <c r="U3" s="115">
        <v>184.3</v>
      </c>
      <c r="V3" s="115">
        <v>-297</v>
      </c>
      <c r="W3" s="115">
        <f>38.7-2.2</f>
        <v>36.5</v>
      </c>
      <c r="X3" s="115">
        <v>22.2</v>
      </c>
      <c r="Y3" s="115">
        <v>-33.700000000000003</v>
      </c>
      <c r="Z3" s="115">
        <f>SUM(V3:Y3)</f>
        <v>-272</v>
      </c>
      <c r="AA3" s="115">
        <v>56.9</v>
      </c>
      <c r="AB3" s="115">
        <v>12.3</v>
      </c>
      <c r="AC3" s="129">
        <v>10.5</v>
      </c>
    </row>
    <row r="4" spans="1:29" ht="13.5" customHeight="1" x14ac:dyDescent="0.25">
      <c r="A4" s="130" t="s">
        <v>174</v>
      </c>
      <c r="B4" s="128"/>
      <c r="C4" s="128"/>
      <c r="D4" s="128"/>
      <c r="E4" s="128"/>
      <c r="F4" s="128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29"/>
    </row>
    <row r="5" spans="1:29" ht="13.5" customHeight="1" x14ac:dyDescent="0.25">
      <c r="A5" s="120" t="s">
        <v>10</v>
      </c>
      <c r="B5" s="128">
        <v>60.4</v>
      </c>
      <c r="C5" s="128">
        <v>54.4</v>
      </c>
      <c r="D5" s="128">
        <v>56</v>
      </c>
      <c r="E5" s="128">
        <v>56.6</v>
      </c>
      <c r="F5" s="128">
        <v>227.4</v>
      </c>
      <c r="G5" s="115">
        <v>57.3</v>
      </c>
      <c r="H5" s="115">
        <v>57.8</v>
      </c>
      <c r="I5" s="115">
        <v>55.2</v>
      </c>
      <c r="J5" s="115">
        <v>58.3</v>
      </c>
      <c r="K5" s="115">
        <v>228.6</v>
      </c>
      <c r="L5" s="115">
        <v>77</v>
      </c>
      <c r="M5" s="115">
        <v>83.2</v>
      </c>
      <c r="N5" s="115">
        <v>86.7</v>
      </c>
      <c r="O5" s="115">
        <v>91.7</v>
      </c>
      <c r="P5" s="115">
        <v>338.59999999999997</v>
      </c>
      <c r="Q5" s="115">
        <v>104.1</v>
      </c>
      <c r="R5" s="115">
        <v>101</v>
      </c>
      <c r="S5" s="115">
        <v>96.4</v>
      </c>
      <c r="T5" s="115">
        <v>110.9</v>
      </c>
      <c r="U5" s="115">
        <v>412.4</v>
      </c>
      <c r="V5" s="115">
        <v>95.5</v>
      </c>
      <c r="W5" s="115">
        <v>63.2</v>
      </c>
      <c r="X5" s="115">
        <v>63</v>
      </c>
      <c r="Y5" s="115">
        <v>62.3</v>
      </c>
      <c r="Z5" s="115">
        <f t="shared" ref="Z5:Z13" si="0">SUM(V5:Y5)</f>
        <v>284</v>
      </c>
      <c r="AA5" s="115">
        <v>65.2</v>
      </c>
      <c r="AB5" s="115">
        <f>68</f>
        <v>68</v>
      </c>
      <c r="AC5" s="129">
        <v>68.8</v>
      </c>
    </row>
    <row r="6" spans="1:29" ht="13.5" customHeight="1" x14ac:dyDescent="0.2">
      <c r="A6" s="120" t="s">
        <v>54</v>
      </c>
      <c r="B6" s="92">
        <v>0.8</v>
      </c>
      <c r="C6" s="92">
        <v>5.3</v>
      </c>
      <c r="D6" s="92">
        <v>1.6</v>
      </c>
      <c r="E6" s="92">
        <v>223.3</v>
      </c>
      <c r="F6" s="92">
        <v>231</v>
      </c>
      <c r="G6" s="92">
        <v>0</v>
      </c>
      <c r="H6" s="92">
        <v>27.4</v>
      </c>
      <c r="I6" s="92">
        <v>0</v>
      </c>
      <c r="J6" s="92">
        <v>0</v>
      </c>
      <c r="K6" s="92">
        <v>27.4</v>
      </c>
      <c r="L6" s="92">
        <v>0</v>
      </c>
      <c r="M6" s="92">
        <v>0.1</v>
      </c>
      <c r="N6" s="92">
        <v>0</v>
      </c>
      <c r="O6" s="92">
        <v>0</v>
      </c>
      <c r="P6" s="92">
        <v>0.1</v>
      </c>
      <c r="Q6" s="115">
        <v>0</v>
      </c>
      <c r="R6" s="115">
        <v>0</v>
      </c>
      <c r="S6" s="115">
        <v>0</v>
      </c>
      <c r="T6" s="115">
        <v>0</v>
      </c>
      <c r="U6" s="115">
        <v>0</v>
      </c>
      <c r="V6" s="115">
        <f>218.8+14.3</f>
        <v>233.10000000000002</v>
      </c>
      <c r="W6" s="115">
        <v>0</v>
      </c>
      <c r="X6" s="115">
        <v>0</v>
      </c>
      <c r="Y6" s="115">
        <v>59.6</v>
      </c>
      <c r="Z6" s="115">
        <f t="shared" si="0"/>
        <v>292.70000000000005</v>
      </c>
      <c r="AA6" s="115">
        <v>4.2</v>
      </c>
      <c r="AB6" s="115">
        <v>0</v>
      </c>
      <c r="AC6" s="129">
        <v>0</v>
      </c>
    </row>
    <row r="7" spans="1:29" ht="13.5" customHeight="1" x14ac:dyDescent="0.2">
      <c r="A7" s="120" t="s">
        <v>12</v>
      </c>
      <c r="B7" s="128">
        <v>6.1</v>
      </c>
      <c r="C7" s="128">
        <v>3.9</v>
      </c>
      <c r="D7" s="128">
        <v>-1.9</v>
      </c>
      <c r="E7" s="128">
        <v>3.8</v>
      </c>
      <c r="F7" s="128">
        <f t="shared" ref="F7:F13" si="1">SUM(B7:E7)</f>
        <v>11.899999999999999</v>
      </c>
      <c r="G7" s="115">
        <v>-10</v>
      </c>
      <c r="H7" s="115">
        <v>-5.5</v>
      </c>
      <c r="I7" s="92">
        <v>-20.5</v>
      </c>
      <c r="J7" s="115">
        <v>4.3</v>
      </c>
      <c r="K7" s="115">
        <v>-31.7</v>
      </c>
      <c r="L7" s="115">
        <v>-29.4</v>
      </c>
      <c r="M7" s="115">
        <v>14</v>
      </c>
      <c r="N7" s="115">
        <v>-4.9000000000000004</v>
      </c>
      <c r="O7" s="115">
        <v>34</v>
      </c>
      <c r="P7" s="115">
        <v>13.700000000000003</v>
      </c>
      <c r="Q7" s="115">
        <v>6.7</v>
      </c>
      <c r="R7" s="115">
        <v>9.8000000000000007</v>
      </c>
      <c r="S7" s="115">
        <v>28.4</v>
      </c>
      <c r="T7" s="115">
        <v>-94.7</v>
      </c>
      <c r="U7" s="115">
        <v>-49.8</v>
      </c>
      <c r="V7" s="115">
        <v>42.6</v>
      </c>
      <c r="W7" s="115">
        <v>-11</v>
      </c>
      <c r="X7" s="115">
        <v>-11.2</v>
      </c>
      <c r="Y7" s="115">
        <v>-26.5</v>
      </c>
      <c r="Z7" s="115">
        <f t="shared" si="0"/>
        <v>-6.0999999999999979</v>
      </c>
      <c r="AA7" s="115">
        <f>-25.3+3.3-0.1</f>
        <v>-22.1</v>
      </c>
      <c r="AB7" s="115">
        <f>5.7+3.3</f>
        <v>9</v>
      </c>
      <c r="AC7" s="129">
        <v>3</v>
      </c>
    </row>
    <row r="8" spans="1:29" ht="13.5" customHeight="1" x14ac:dyDescent="0.2">
      <c r="A8" s="120" t="s">
        <v>71</v>
      </c>
      <c r="B8" s="92">
        <v>13.7</v>
      </c>
      <c r="C8" s="92">
        <v>0.7</v>
      </c>
      <c r="D8" s="92">
        <f>13.1</f>
        <v>13.1</v>
      </c>
      <c r="E8" s="92">
        <f>-21.1-0.1</f>
        <v>-21.200000000000003</v>
      </c>
      <c r="F8" s="128">
        <f t="shared" si="1"/>
        <v>6.2999999999999972</v>
      </c>
      <c r="G8" s="92">
        <v>8.9</v>
      </c>
      <c r="H8" s="92">
        <v>13.3</v>
      </c>
      <c r="I8" s="92">
        <v>16.899999999999999</v>
      </c>
      <c r="J8" s="92">
        <v>-11.1</v>
      </c>
      <c r="K8" s="92">
        <v>28</v>
      </c>
      <c r="L8" s="92">
        <v>14.1</v>
      </c>
      <c r="M8" s="92">
        <v>-12.3</v>
      </c>
      <c r="N8" s="92">
        <v>0.6</v>
      </c>
      <c r="O8" s="92">
        <v>-15.7</v>
      </c>
      <c r="P8" s="92">
        <v>-13.3</v>
      </c>
      <c r="Q8" s="115">
        <v>0.6</v>
      </c>
      <c r="R8" s="115">
        <v>4.9000000000000004</v>
      </c>
      <c r="S8" s="115">
        <v>-16.899999999999999</v>
      </c>
      <c r="T8" s="115">
        <v>1.7</v>
      </c>
      <c r="U8" s="115">
        <v>-9.6999999999999993</v>
      </c>
      <c r="V8" s="115">
        <v>-9.3000000000000007</v>
      </c>
      <c r="W8" s="115">
        <v>7</v>
      </c>
      <c r="X8" s="115">
        <v>2.5</v>
      </c>
      <c r="Y8" s="115">
        <v>10.6</v>
      </c>
      <c r="Z8" s="115">
        <f t="shared" si="0"/>
        <v>10.799999999999999</v>
      </c>
      <c r="AA8" s="115">
        <v>2.8</v>
      </c>
      <c r="AB8" s="115">
        <v>-3.6</v>
      </c>
      <c r="AC8" s="129">
        <v>-2.2999999999999998</v>
      </c>
    </row>
    <row r="9" spans="1:29" ht="13.5" customHeight="1" x14ac:dyDescent="0.2">
      <c r="A9" s="120" t="s">
        <v>13</v>
      </c>
      <c r="B9" s="128">
        <f>11.1</f>
        <v>11.1</v>
      </c>
      <c r="C9" s="128">
        <v>10.3</v>
      </c>
      <c r="D9" s="128">
        <v>11.6</v>
      </c>
      <c r="E9" s="128">
        <v>11.5</v>
      </c>
      <c r="F9" s="128">
        <f t="shared" si="1"/>
        <v>44.5</v>
      </c>
      <c r="G9" s="115">
        <v>11</v>
      </c>
      <c r="H9" s="115">
        <v>10.199999999999999</v>
      </c>
      <c r="I9" s="92">
        <v>8.3000000000000007</v>
      </c>
      <c r="J9" s="115">
        <v>8.3000000000000007</v>
      </c>
      <c r="K9" s="115">
        <v>37.799999999999997</v>
      </c>
      <c r="L9" s="115">
        <v>18.399999999999999</v>
      </c>
      <c r="M9" s="115">
        <v>19.8</v>
      </c>
      <c r="N9" s="115">
        <v>18.3</v>
      </c>
      <c r="O9" s="115">
        <v>20.6</v>
      </c>
      <c r="P9" s="115">
        <v>77.099999999999994</v>
      </c>
      <c r="Q9" s="115">
        <v>21</v>
      </c>
      <c r="R9" s="115">
        <v>21.2</v>
      </c>
      <c r="S9" s="115">
        <v>19.600000000000001</v>
      </c>
      <c r="T9" s="115">
        <v>20</v>
      </c>
      <c r="U9" s="115">
        <v>81.8</v>
      </c>
      <c r="V9" s="115">
        <f>16.4+0.9</f>
        <v>17.299999999999997</v>
      </c>
      <c r="W9" s="115">
        <v>15.2</v>
      </c>
      <c r="X9" s="115">
        <v>13.2</v>
      </c>
      <c r="Y9" s="115">
        <v>12.4</v>
      </c>
      <c r="Z9" s="115">
        <f t="shared" si="0"/>
        <v>58.1</v>
      </c>
      <c r="AA9" s="115">
        <v>12.4</v>
      </c>
      <c r="AB9" s="115">
        <v>12.3</v>
      </c>
      <c r="AC9" s="129">
        <v>11.9</v>
      </c>
    </row>
    <row r="10" spans="1:29" ht="13.5" customHeight="1" x14ac:dyDescent="0.2">
      <c r="A10" s="120" t="s">
        <v>85</v>
      </c>
      <c r="B10" s="92">
        <v>0</v>
      </c>
      <c r="C10" s="92">
        <v>0</v>
      </c>
      <c r="D10" s="92">
        <v>0</v>
      </c>
      <c r="E10" s="92">
        <v>0</v>
      </c>
      <c r="F10" s="128">
        <f t="shared" si="1"/>
        <v>0</v>
      </c>
      <c r="G10" s="92">
        <v>0</v>
      </c>
      <c r="H10" s="92">
        <v>0</v>
      </c>
      <c r="I10" s="115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0.2</v>
      </c>
      <c r="P10" s="92">
        <v>0.2</v>
      </c>
      <c r="Q10" s="115">
        <v>0.2</v>
      </c>
      <c r="R10" s="115">
        <v>0.4</v>
      </c>
      <c r="S10" s="115">
        <v>0.2</v>
      </c>
      <c r="T10" s="115">
        <v>-0.5</v>
      </c>
      <c r="U10" s="115">
        <v>0.3</v>
      </c>
      <c r="V10" s="115">
        <v>0</v>
      </c>
      <c r="W10" s="115">
        <v>0</v>
      </c>
      <c r="X10" s="115">
        <v>0</v>
      </c>
      <c r="Y10" s="115">
        <v>0</v>
      </c>
      <c r="Z10" s="115">
        <f t="shared" si="0"/>
        <v>0</v>
      </c>
      <c r="AA10" s="115">
        <v>0</v>
      </c>
      <c r="AB10" s="115">
        <v>0</v>
      </c>
      <c r="AC10" s="129">
        <v>0</v>
      </c>
    </row>
    <row r="11" spans="1:29" ht="13.5" customHeight="1" x14ac:dyDescent="0.2">
      <c r="A11" s="120" t="s">
        <v>75</v>
      </c>
      <c r="B11" s="92">
        <v>-0.1</v>
      </c>
      <c r="C11" s="92">
        <v>0</v>
      </c>
      <c r="D11" s="92">
        <v>-0.3</v>
      </c>
      <c r="E11" s="92">
        <v>-0.2</v>
      </c>
      <c r="F11" s="128">
        <f t="shared" si="1"/>
        <v>-0.60000000000000009</v>
      </c>
      <c r="G11" s="92">
        <v>0</v>
      </c>
      <c r="H11" s="92">
        <v>-0.5</v>
      </c>
      <c r="I11" s="92">
        <v>0.1</v>
      </c>
      <c r="J11" s="92">
        <v>-0.5</v>
      </c>
      <c r="K11" s="92">
        <v>-0.9</v>
      </c>
      <c r="L11" s="92">
        <v>-0.5</v>
      </c>
      <c r="M11" s="92">
        <v>-0.3</v>
      </c>
      <c r="N11" s="92">
        <v>-0.1</v>
      </c>
      <c r="O11" s="92">
        <v>-0.5</v>
      </c>
      <c r="P11" s="92">
        <v>-1.4</v>
      </c>
      <c r="Q11" s="115">
        <v>-0.6</v>
      </c>
      <c r="R11" s="115">
        <v>-0.3</v>
      </c>
      <c r="S11" s="115">
        <v>-0.1</v>
      </c>
      <c r="T11" s="115">
        <v>0.3</v>
      </c>
      <c r="U11" s="115">
        <v>-0.7</v>
      </c>
      <c r="V11" s="115">
        <f>2+4.1</f>
        <v>6.1</v>
      </c>
      <c r="W11" s="115">
        <v>2.1</v>
      </c>
      <c r="X11" s="115">
        <v>4.7</v>
      </c>
      <c r="Y11" s="115">
        <v>2.8</v>
      </c>
      <c r="Z11" s="115">
        <f t="shared" si="0"/>
        <v>15.7</v>
      </c>
      <c r="AA11" s="115">
        <v>-8.3000000000000007</v>
      </c>
      <c r="AB11" s="115">
        <v>-5.3</v>
      </c>
      <c r="AC11" s="129">
        <v>3.8</v>
      </c>
    </row>
    <row r="12" spans="1:29" ht="13.5" customHeight="1" x14ac:dyDescent="0.25">
      <c r="A12" s="120" t="s">
        <v>132</v>
      </c>
      <c r="B12" s="128">
        <v>0</v>
      </c>
      <c r="C12" s="128">
        <v>0</v>
      </c>
      <c r="D12" s="128">
        <v>0</v>
      </c>
      <c r="E12" s="128">
        <v>0</v>
      </c>
      <c r="F12" s="128">
        <f t="shared" si="1"/>
        <v>0</v>
      </c>
      <c r="G12" s="115">
        <v>0</v>
      </c>
      <c r="H12" s="115">
        <v>0</v>
      </c>
      <c r="I12" s="115">
        <v>0</v>
      </c>
      <c r="J12" s="115">
        <v>0</v>
      </c>
      <c r="K12" s="115">
        <v>0</v>
      </c>
      <c r="L12" s="115">
        <v>0</v>
      </c>
      <c r="M12" s="115">
        <v>0</v>
      </c>
      <c r="N12" s="115">
        <v>0</v>
      </c>
      <c r="O12" s="115">
        <v>-7</v>
      </c>
      <c r="P12" s="115">
        <v>-7</v>
      </c>
      <c r="Q12" s="115">
        <v>-0.1</v>
      </c>
      <c r="R12" s="115">
        <v>0</v>
      </c>
      <c r="S12" s="115">
        <v>0.1</v>
      </c>
      <c r="T12" s="115">
        <v>0</v>
      </c>
      <c r="U12" s="115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f t="shared" si="0"/>
        <v>0</v>
      </c>
      <c r="AA12" s="115">
        <v>-0.1</v>
      </c>
      <c r="AB12" s="115">
        <v>0</v>
      </c>
      <c r="AC12" s="129">
        <v>0</v>
      </c>
    </row>
    <row r="13" spans="1:29" ht="13.5" customHeight="1" x14ac:dyDescent="0.2">
      <c r="A13" s="120" t="s">
        <v>109</v>
      </c>
      <c r="B13" s="92">
        <v>0.1</v>
      </c>
      <c r="C13" s="92">
        <v>0.1</v>
      </c>
      <c r="D13" s="92">
        <v>0.1</v>
      </c>
      <c r="E13" s="92">
        <v>0.1</v>
      </c>
      <c r="F13" s="128">
        <f t="shared" si="1"/>
        <v>0.4</v>
      </c>
      <c r="G13" s="92">
        <v>0.1</v>
      </c>
      <c r="H13" s="92">
        <v>0</v>
      </c>
      <c r="I13" s="92">
        <v>0</v>
      </c>
      <c r="J13" s="92">
        <v>0</v>
      </c>
      <c r="K13" s="92">
        <v>0.1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115">
        <v>0</v>
      </c>
      <c r="R13" s="115">
        <v>0.3</v>
      </c>
      <c r="S13" s="115">
        <v>0.3</v>
      </c>
      <c r="T13" s="115">
        <f>1-0.6</f>
        <v>0.4</v>
      </c>
      <c r="U13" s="115">
        <v>1</v>
      </c>
      <c r="V13" s="115">
        <v>0.2</v>
      </c>
      <c r="W13" s="115">
        <v>0.4</v>
      </c>
      <c r="X13" s="115">
        <v>0.4</v>
      </c>
      <c r="Y13" s="115">
        <v>0.5</v>
      </c>
      <c r="Z13" s="115">
        <f t="shared" si="0"/>
        <v>1.5</v>
      </c>
      <c r="AA13" s="115">
        <f>-0.6+1.2</f>
        <v>0.6</v>
      </c>
      <c r="AB13" s="115">
        <f>1.4-0.1</f>
        <v>1.2999999999999998</v>
      </c>
      <c r="AC13" s="129">
        <v>1.3</v>
      </c>
    </row>
    <row r="14" spans="1:29" ht="13.5" customHeight="1" x14ac:dyDescent="0.2">
      <c r="A14" s="130" t="s">
        <v>175</v>
      </c>
      <c r="B14" s="92"/>
      <c r="C14" s="92"/>
      <c r="D14" s="92"/>
      <c r="E14" s="92"/>
      <c r="F14" s="128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29"/>
    </row>
    <row r="15" spans="1:29" ht="13.5" customHeight="1" x14ac:dyDescent="0.2">
      <c r="A15" s="120" t="s">
        <v>97</v>
      </c>
      <c r="B15" s="92">
        <v>4.2</v>
      </c>
      <c r="C15" s="92">
        <v>4.3</v>
      </c>
      <c r="D15" s="92">
        <v>4.4000000000000004</v>
      </c>
      <c r="E15" s="92">
        <v>4.4000000000000004</v>
      </c>
      <c r="F15" s="128">
        <f t="shared" ref="F15:F18" si="2">SUM(B15:E15)</f>
        <v>17.3</v>
      </c>
      <c r="G15" s="92">
        <v>4.2</v>
      </c>
      <c r="H15" s="92">
        <v>4.3</v>
      </c>
      <c r="I15" s="115">
        <v>4.3</v>
      </c>
      <c r="J15" s="92">
        <v>4.5</v>
      </c>
      <c r="K15" s="92">
        <v>17.3</v>
      </c>
      <c r="L15" s="92">
        <v>4.5</v>
      </c>
      <c r="M15" s="92">
        <v>4.5999999999999996</v>
      </c>
      <c r="N15" s="92">
        <v>4.7</v>
      </c>
      <c r="O15" s="92">
        <v>4.9000000000000004</v>
      </c>
      <c r="P15" s="92">
        <v>18.7</v>
      </c>
      <c r="Q15" s="115">
        <v>4.9000000000000004</v>
      </c>
      <c r="R15" s="115">
        <v>5</v>
      </c>
      <c r="S15" s="115">
        <v>5.0999999999999996</v>
      </c>
      <c r="T15" s="115">
        <v>5.0999999999999996</v>
      </c>
      <c r="U15" s="115">
        <v>20.100000000000001</v>
      </c>
      <c r="V15" s="115">
        <v>5.3</v>
      </c>
      <c r="W15" s="115">
        <v>5.3</v>
      </c>
      <c r="X15" s="115">
        <v>5.5</v>
      </c>
      <c r="Y15" s="115">
        <v>5.6</v>
      </c>
      <c r="Z15" s="115">
        <f t="shared" ref="Z15:Z23" si="3">SUM(V15:Y15)</f>
        <v>21.700000000000003</v>
      </c>
      <c r="AA15" s="115">
        <v>5.7</v>
      </c>
      <c r="AB15" s="115">
        <v>5.8</v>
      </c>
      <c r="AC15" s="129">
        <v>5.9</v>
      </c>
    </row>
    <row r="16" spans="1:29" ht="13.5" customHeight="1" x14ac:dyDescent="0.2">
      <c r="A16" s="120" t="s">
        <v>98</v>
      </c>
      <c r="B16" s="128">
        <v>-1.3</v>
      </c>
      <c r="C16" s="128">
        <f>-3.3+1.3</f>
        <v>-1.9999999999999998</v>
      </c>
      <c r="D16" s="128">
        <f>-5.9+2+1.3</f>
        <v>-2.6000000000000005</v>
      </c>
      <c r="E16" s="128">
        <f>-7.2+2.6+2+1.3</f>
        <v>-1.2999999999999996</v>
      </c>
      <c r="F16" s="128">
        <f t="shared" si="2"/>
        <v>-7.2</v>
      </c>
      <c r="G16" s="115">
        <v>-6.6</v>
      </c>
      <c r="H16" s="115">
        <v>-5.7</v>
      </c>
      <c r="I16" s="92">
        <v>-4.3</v>
      </c>
      <c r="J16" s="115">
        <v>-1.2</v>
      </c>
      <c r="K16" s="115">
        <v>-17.8</v>
      </c>
      <c r="L16" s="115">
        <v>-5.3</v>
      </c>
      <c r="M16" s="115">
        <v>-7.3</v>
      </c>
      <c r="N16" s="115">
        <v>-2.1</v>
      </c>
      <c r="O16" s="115">
        <v>-17.3</v>
      </c>
      <c r="P16" s="115">
        <v>-32</v>
      </c>
      <c r="Q16" s="115">
        <v>7.5</v>
      </c>
      <c r="R16" s="115">
        <v>-0.4</v>
      </c>
      <c r="S16" s="115">
        <v>-6</v>
      </c>
      <c r="T16" s="115">
        <v>0.1</v>
      </c>
      <c r="U16" s="115">
        <v>1.2</v>
      </c>
      <c r="V16" s="115">
        <v>2.5</v>
      </c>
      <c r="W16" s="115">
        <v>-0.3</v>
      </c>
      <c r="X16" s="115">
        <v>-4.3</v>
      </c>
      <c r="Y16" s="115">
        <v>20.9</v>
      </c>
      <c r="Z16" s="115">
        <f t="shared" si="3"/>
        <v>18.799999999999997</v>
      </c>
      <c r="AA16" s="115">
        <v>0</v>
      </c>
      <c r="AB16" s="115">
        <v>2.7</v>
      </c>
      <c r="AC16" s="129">
        <v>0.2</v>
      </c>
    </row>
    <row r="17" spans="1:29" ht="13.5" customHeight="1" x14ac:dyDescent="0.2">
      <c r="A17" s="120" t="s">
        <v>99</v>
      </c>
      <c r="B17" s="92">
        <v>67.3</v>
      </c>
      <c r="C17" s="92">
        <f>105.9-67.3</f>
        <v>38.600000000000009</v>
      </c>
      <c r="D17" s="92">
        <f>128.1-38.6-67.3</f>
        <v>22.200000000000003</v>
      </c>
      <c r="E17" s="92">
        <f>-3.1-67.3-38.6-22.2</f>
        <v>-131.19999999999999</v>
      </c>
      <c r="F17" s="128">
        <f t="shared" si="2"/>
        <v>-3.0999999999999659</v>
      </c>
      <c r="G17" s="92">
        <v>303.39999999999998</v>
      </c>
      <c r="H17" s="92">
        <v>-2.6</v>
      </c>
      <c r="I17" s="115">
        <v>6.8</v>
      </c>
      <c r="J17" s="92">
        <v>-75.7</v>
      </c>
      <c r="K17" s="92">
        <v>231.9</v>
      </c>
      <c r="L17" s="92">
        <v>73.7</v>
      </c>
      <c r="M17" s="92">
        <v>-3.7</v>
      </c>
      <c r="N17" s="92">
        <v>28.7</v>
      </c>
      <c r="O17" s="92">
        <v>-60.9</v>
      </c>
      <c r="P17" s="92">
        <v>37.799999999999997</v>
      </c>
      <c r="Q17" s="115">
        <v>-38.799999999999997</v>
      </c>
      <c r="R17" s="115">
        <v>42.6</v>
      </c>
      <c r="S17" s="115">
        <v>7.2</v>
      </c>
      <c r="T17" s="115">
        <v>-58.6</v>
      </c>
      <c r="U17" s="115">
        <v>-47.6</v>
      </c>
      <c r="V17" s="115">
        <v>18.3</v>
      </c>
      <c r="W17" s="115">
        <f>20+2.2</f>
        <v>22.2</v>
      </c>
      <c r="X17" s="115">
        <v>3.1</v>
      </c>
      <c r="Y17" s="115">
        <v>-38.6</v>
      </c>
      <c r="Z17" s="115">
        <f t="shared" si="3"/>
        <v>5</v>
      </c>
      <c r="AA17" s="115">
        <v>-22.3</v>
      </c>
      <c r="AB17" s="115">
        <v>-5.6</v>
      </c>
      <c r="AC17" s="129">
        <v>3.8</v>
      </c>
    </row>
    <row r="18" spans="1:29" ht="13.5" customHeight="1" x14ac:dyDescent="0.2">
      <c r="A18" s="120" t="s">
        <v>100</v>
      </c>
      <c r="B18" s="128">
        <v>-37.4</v>
      </c>
      <c r="C18" s="128">
        <f>-50.3+37.4</f>
        <v>-12.899999999999999</v>
      </c>
      <c r="D18" s="128">
        <f>-71.1+12.9+37.4</f>
        <v>-20.799999999999997</v>
      </c>
      <c r="E18" s="128">
        <f>-34.6+37.4+12.9+20.8</f>
        <v>36.5</v>
      </c>
      <c r="F18" s="128">
        <f t="shared" si="2"/>
        <v>-34.599999999999994</v>
      </c>
      <c r="G18" s="115">
        <v>-19.899999999999999</v>
      </c>
      <c r="H18" s="115">
        <v>1.6</v>
      </c>
      <c r="I18" s="92">
        <v>12.3</v>
      </c>
      <c r="J18" s="115">
        <v>37.6</v>
      </c>
      <c r="K18" s="115">
        <v>31.6</v>
      </c>
      <c r="L18" s="115">
        <v>17.899999999999999</v>
      </c>
      <c r="M18" s="115">
        <v>64.3</v>
      </c>
      <c r="N18" s="115">
        <v>-4.3</v>
      </c>
      <c r="O18" s="115">
        <v>-76.2</v>
      </c>
      <c r="P18" s="115">
        <v>1.7</v>
      </c>
      <c r="Q18" s="115">
        <v>-3.5</v>
      </c>
      <c r="R18" s="115">
        <v>-8</v>
      </c>
      <c r="S18" s="115">
        <v>21.8</v>
      </c>
      <c r="T18" s="115">
        <v>13.8</v>
      </c>
      <c r="U18" s="115">
        <v>24.1</v>
      </c>
      <c r="V18" s="115">
        <v>-29.4</v>
      </c>
      <c r="W18" s="115">
        <v>-10.7</v>
      </c>
      <c r="X18" s="115">
        <v>-6.8</v>
      </c>
      <c r="Y18" s="115">
        <v>20.399999999999999</v>
      </c>
      <c r="Z18" s="115">
        <f t="shared" si="3"/>
        <v>-26.499999999999993</v>
      </c>
      <c r="AA18" s="115">
        <v>-38.6</v>
      </c>
      <c r="AB18" s="115">
        <v>14.9</v>
      </c>
      <c r="AC18" s="129">
        <v>4.5999999999999996</v>
      </c>
    </row>
    <row r="19" spans="1:29" ht="13.5" customHeight="1" x14ac:dyDescent="0.2">
      <c r="A19" s="120" t="s">
        <v>101</v>
      </c>
      <c r="B19" s="92">
        <f>28.8-B18-B17-B16-B10+0.1</f>
        <v>0.30000000000000571</v>
      </c>
      <c r="C19" s="92">
        <f>31.7-C18-C17-C16-C10</f>
        <v>7.9999999999999858</v>
      </c>
      <c r="D19" s="92">
        <f>4-D18-D17-D16-D10</f>
        <v>5.1999999999999948</v>
      </c>
      <c r="E19" s="92">
        <f>-83.6-E18-E17-E16-E10+0.1-0.1</f>
        <v>12.399999999999993</v>
      </c>
      <c r="F19" s="128">
        <f>SUM(B19:E19)</f>
        <v>25.899999999999977</v>
      </c>
      <c r="G19" s="92">
        <f>10.6-0.1</f>
        <v>10.5</v>
      </c>
      <c r="H19" s="92">
        <v>-0.7</v>
      </c>
      <c r="I19" s="115">
        <v>2.1</v>
      </c>
      <c r="J19" s="92">
        <v>79.8</v>
      </c>
      <c r="K19" s="92">
        <f>91.8-0.1</f>
        <v>91.7</v>
      </c>
      <c r="L19" s="92">
        <v>-4</v>
      </c>
      <c r="M19" s="92">
        <v>-46.8</v>
      </c>
      <c r="N19" s="92">
        <v>-46.1</v>
      </c>
      <c r="O19" s="92">
        <v>61.2</v>
      </c>
      <c r="P19" s="92">
        <v>-35.700000000000003</v>
      </c>
      <c r="Q19" s="115">
        <f>18.3+14.7</f>
        <v>33</v>
      </c>
      <c r="R19" s="115">
        <f>-65.8+14.5-0.3+23.2</f>
        <v>-28.399999999999995</v>
      </c>
      <c r="S19" s="115">
        <f>-5-14.5-0.3+15.8</f>
        <v>-4</v>
      </c>
      <c r="T19" s="115">
        <f>106.4+0.6+17.9</f>
        <v>124.9</v>
      </c>
      <c r="U19" s="115">
        <f>53.9+71.6</f>
        <v>125.5</v>
      </c>
      <c r="V19" s="115">
        <f>33.3-0.9-12.2</f>
        <v>20.2</v>
      </c>
      <c r="W19" s="115">
        <f>-4.6+3.6+9</f>
        <v>8</v>
      </c>
      <c r="X19" s="115">
        <f>-1.6+6.9</f>
        <v>5.3000000000000007</v>
      </c>
      <c r="Y19" s="115">
        <f>0.3-1.7</f>
        <v>-1.4</v>
      </c>
      <c r="Z19" s="115">
        <f>SUM(V19:Y19)</f>
        <v>32.1</v>
      </c>
      <c r="AA19" s="115">
        <f>11.6-1.2+11.9-6.4-3.3+0.1</f>
        <v>12.700000000000001</v>
      </c>
      <c r="AB19" s="115">
        <f>33.2-3.3-46.4</f>
        <v>-16.499999999999996</v>
      </c>
      <c r="AC19" s="129">
        <f>14.1-19.2</f>
        <v>-5.0999999999999996</v>
      </c>
    </row>
    <row r="20" spans="1:29" ht="13.5" customHeight="1" x14ac:dyDescent="0.2">
      <c r="A20" s="143" t="s">
        <v>176</v>
      </c>
      <c r="B20" s="144"/>
      <c r="C20" s="144"/>
      <c r="D20" s="144"/>
      <c r="E20" s="144"/>
      <c r="F20" s="145"/>
      <c r="G20" s="144"/>
      <c r="H20" s="144"/>
      <c r="I20" s="146"/>
      <c r="J20" s="144"/>
      <c r="K20" s="144"/>
      <c r="L20" s="144"/>
      <c r="M20" s="144"/>
      <c r="N20" s="144"/>
      <c r="O20" s="144"/>
      <c r="P20" s="144"/>
      <c r="Q20" s="146">
        <v>-14.7</v>
      </c>
      <c r="R20" s="146">
        <v>-23.2</v>
      </c>
      <c r="S20" s="146">
        <v>-15.8</v>
      </c>
      <c r="T20" s="146">
        <v>-17.899999999999999</v>
      </c>
      <c r="U20" s="146">
        <v>-71.599999999999994</v>
      </c>
      <c r="V20" s="146">
        <v>12.2</v>
      </c>
      <c r="W20" s="146">
        <v>-9</v>
      </c>
      <c r="X20" s="146">
        <v>-6.9</v>
      </c>
      <c r="Y20" s="146">
        <v>1.7</v>
      </c>
      <c r="Z20" s="146">
        <v>-2</v>
      </c>
      <c r="AA20" s="146">
        <v>6.4</v>
      </c>
      <c r="AB20" s="146">
        <v>46.4</v>
      </c>
      <c r="AC20" s="131">
        <f>39.8+19.2</f>
        <v>59</v>
      </c>
    </row>
    <row r="21" spans="1:29" ht="13.5" customHeight="1" x14ac:dyDescent="0.2">
      <c r="A21" s="120" t="s">
        <v>177</v>
      </c>
      <c r="B21" s="132"/>
      <c r="C21" s="132"/>
      <c r="D21" s="132"/>
      <c r="E21" s="132"/>
      <c r="F21" s="128"/>
      <c r="G21" s="132"/>
      <c r="H21" s="132"/>
      <c r="I21" s="115"/>
      <c r="J21" s="132"/>
      <c r="K21" s="132"/>
      <c r="L21" s="132"/>
      <c r="M21" s="132"/>
      <c r="N21" s="132"/>
      <c r="O21" s="132"/>
      <c r="P21" s="132"/>
      <c r="Q21" s="115">
        <f t="shared" ref="Q21:AC21" si="4">SUM(Q3:Q20)</f>
        <v>173.3</v>
      </c>
      <c r="R21" s="115">
        <f t="shared" si="4"/>
        <v>175.6</v>
      </c>
      <c r="S21" s="115">
        <f t="shared" si="4"/>
        <v>169.59999999999997</v>
      </c>
      <c r="T21" s="115">
        <f t="shared" si="4"/>
        <v>152.79999999999998</v>
      </c>
      <c r="U21" s="115">
        <f t="shared" si="4"/>
        <v>671.3</v>
      </c>
      <c r="V21" s="115">
        <f t="shared" si="4"/>
        <v>117.60000000000002</v>
      </c>
      <c r="W21" s="115">
        <f t="shared" si="4"/>
        <v>128.9</v>
      </c>
      <c r="X21" s="115">
        <f t="shared" si="4"/>
        <v>90.7</v>
      </c>
      <c r="Y21" s="115">
        <f t="shared" si="4"/>
        <v>96.59999999999998</v>
      </c>
      <c r="Z21" s="115">
        <f t="shared" si="4"/>
        <v>433.80000000000007</v>
      </c>
      <c r="AA21" s="115">
        <f t="shared" si="4"/>
        <v>75.5</v>
      </c>
      <c r="AB21" s="115">
        <f t="shared" si="4"/>
        <v>141.70000000000002</v>
      </c>
      <c r="AC21" s="129">
        <f t="shared" si="4"/>
        <v>165.4</v>
      </c>
    </row>
    <row r="22" spans="1:29" ht="13.5" customHeight="1" x14ac:dyDescent="0.2">
      <c r="A22" s="120" t="s">
        <v>11</v>
      </c>
      <c r="B22" s="128">
        <v>-9.4</v>
      </c>
      <c r="C22" s="128">
        <v>-10</v>
      </c>
      <c r="D22" s="128">
        <v>-5.3</v>
      </c>
      <c r="E22" s="128">
        <f>-6.5+0.1</f>
        <v>-6.4</v>
      </c>
      <c r="F22" s="128">
        <f>SUM(B22:E22)</f>
        <v>-31.1</v>
      </c>
      <c r="G22" s="115">
        <v>-6.3</v>
      </c>
      <c r="H22" s="115">
        <v>-8.1</v>
      </c>
      <c r="I22" s="92">
        <v>-6.4</v>
      </c>
      <c r="J22" s="115">
        <v>-7.2</v>
      </c>
      <c r="K22" s="115">
        <v>-28</v>
      </c>
      <c r="L22" s="115">
        <v>-6.5</v>
      </c>
      <c r="M22" s="115">
        <v>-9.3000000000000007</v>
      </c>
      <c r="N22" s="115">
        <v>-7.4</v>
      </c>
      <c r="O22" s="115">
        <v>-16.2</v>
      </c>
      <c r="P22" s="115">
        <v>-39.400000000000006</v>
      </c>
      <c r="Q22" s="115">
        <v>-12.9</v>
      </c>
      <c r="R22" s="115">
        <v>-19.2</v>
      </c>
      <c r="S22" s="115">
        <v>-17.7</v>
      </c>
      <c r="T22" s="115">
        <v>-13.2</v>
      </c>
      <c r="U22" s="115">
        <v>-63</v>
      </c>
      <c r="V22" s="115">
        <v>-11.3</v>
      </c>
      <c r="W22" s="115">
        <v>-8.5</v>
      </c>
      <c r="X22" s="115">
        <v>-8.6999999999999993</v>
      </c>
      <c r="Y22" s="115">
        <v>-6.4</v>
      </c>
      <c r="Z22" s="115">
        <f t="shared" si="3"/>
        <v>-34.9</v>
      </c>
      <c r="AA22" s="115">
        <v>-4.3</v>
      </c>
      <c r="AB22" s="115">
        <v>-8</v>
      </c>
      <c r="AC22" s="129">
        <v>-8.1999999999999993</v>
      </c>
    </row>
    <row r="23" spans="1:29" ht="13.5" customHeight="1" x14ac:dyDescent="0.2">
      <c r="A23" s="120" t="s">
        <v>121</v>
      </c>
      <c r="B23" s="92">
        <v>0</v>
      </c>
      <c r="C23" s="92">
        <v>0</v>
      </c>
      <c r="D23" s="92">
        <v>0</v>
      </c>
      <c r="E23" s="92">
        <v>0</v>
      </c>
      <c r="F23" s="128">
        <f>SUM(B23:E23)</f>
        <v>0</v>
      </c>
      <c r="G23" s="92">
        <v>0</v>
      </c>
      <c r="H23" s="92">
        <v>0</v>
      </c>
      <c r="I23" s="92">
        <v>0</v>
      </c>
      <c r="J23" s="92">
        <v>0</v>
      </c>
      <c r="K23" s="92">
        <v>0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f>-40.1+2.4+26.1</f>
        <v>-11.600000000000001</v>
      </c>
      <c r="W23" s="115">
        <v>0</v>
      </c>
      <c r="X23" s="115">
        <v>0</v>
      </c>
      <c r="Y23" s="115">
        <v>0</v>
      </c>
      <c r="Z23" s="115">
        <f t="shared" si="3"/>
        <v>-11.600000000000001</v>
      </c>
      <c r="AA23" s="115">
        <v>0</v>
      </c>
      <c r="AB23" s="115">
        <v>0</v>
      </c>
      <c r="AC23" s="129">
        <v>0</v>
      </c>
    </row>
    <row r="24" spans="1:29" ht="13.5" customHeight="1" x14ac:dyDescent="0.25">
      <c r="A24" s="133" t="s">
        <v>14</v>
      </c>
      <c r="B24" s="111">
        <f t="shared" ref="B24:P24" si="5">SUM(B3:B23)</f>
        <v>122.6</v>
      </c>
      <c r="C24" s="111">
        <f t="shared" si="5"/>
        <v>107.49999999999999</v>
      </c>
      <c r="D24" s="111">
        <f t="shared" si="5"/>
        <v>79</v>
      </c>
      <c r="E24" s="111">
        <f t="shared" si="5"/>
        <v>78.8</v>
      </c>
      <c r="F24" s="111">
        <f t="shared" si="5"/>
        <v>387.9</v>
      </c>
      <c r="G24" s="67">
        <f t="shared" si="5"/>
        <v>346.59999999999997</v>
      </c>
      <c r="H24" s="67">
        <f t="shared" si="5"/>
        <v>106.3</v>
      </c>
      <c r="I24" s="67">
        <f t="shared" si="5"/>
        <v>96.299999999999969</v>
      </c>
      <c r="J24" s="67">
        <f t="shared" si="5"/>
        <v>110.3</v>
      </c>
      <c r="K24" s="67">
        <f t="shared" si="5"/>
        <v>659.50000000000011</v>
      </c>
      <c r="L24" s="67">
        <f t="shared" si="5"/>
        <v>187.5</v>
      </c>
      <c r="M24" s="67">
        <f t="shared" si="5"/>
        <v>106.29999999999998</v>
      </c>
      <c r="N24" s="67">
        <f t="shared" si="5"/>
        <v>98.899999999999977</v>
      </c>
      <c r="O24" s="67">
        <f t="shared" si="5"/>
        <v>43.199999999999974</v>
      </c>
      <c r="P24" s="67">
        <f t="shared" si="5"/>
        <v>435.9</v>
      </c>
      <c r="Q24" s="67">
        <f>SUM(Q21:Q23)</f>
        <v>160.4</v>
      </c>
      <c r="R24" s="67">
        <f t="shared" ref="R24:AB24" si="6">SUM(R21:R23)</f>
        <v>156.4</v>
      </c>
      <c r="S24" s="67">
        <f t="shared" si="6"/>
        <v>151.89999999999998</v>
      </c>
      <c r="T24" s="67">
        <f t="shared" si="6"/>
        <v>139.6</v>
      </c>
      <c r="U24" s="67">
        <f t="shared" si="6"/>
        <v>608.29999999999995</v>
      </c>
      <c r="V24" s="67">
        <f t="shared" si="6"/>
        <v>94.700000000000017</v>
      </c>
      <c r="W24" s="67">
        <f t="shared" si="6"/>
        <v>120.4</v>
      </c>
      <c r="X24" s="67">
        <f t="shared" si="6"/>
        <v>82</v>
      </c>
      <c r="Y24" s="67">
        <f t="shared" si="6"/>
        <v>90.199999999999974</v>
      </c>
      <c r="Z24" s="67">
        <f t="shared" si="6"/>
        <v>387.30000000000007</v>
      </c>
      <c r="AA24" s="67">
        <f t="shared" si="6"/>
        <v>71.2</v>
      </c>
      <c r="AB24" s="67">
        <f t="shared" si="6"/>
        <v>133.70000000000002</v>
      </c>
      <c r="AC24" s="118">
        <f t="shared" ref="AC24" si="7">+AC23+AC22+AC21</f>
        <v>157.20000000000002</v>
      </c>
    </row>
    <row r="25" spans="1:29" ht="13.5" customHeight="1" x14ac:dyDescent="0.25">
      <c r="A25" s="134"/>
      <c r="B25" s="112"/>
      <c r="C25" s="112"/>
      <c r="D25" s="112"/>
      <c r="E25" s="112"/>
      <c r="F25" s="112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72"/>
    </row>
    <row r="26" spans="1:29" ht="13.5" customHeight="1" x14ac:dyDescent="0.2">
      <c r="A26" s="120" t="s">
        <v>15</v>
      </c>
      <c r="B26" s="92">
        <v>0.5</v>
      </c>
      <c r="C26" s="92">
        <v>0.5</v>
      </c>
      <c r="D26" s="92">
        <v>0.4</v>
      </c>
      <c r="E26" s="92">
        <v>0.3</v>
      </c>
      <c r="F26" s="128">
        <f t="shared" ref="F26:F31" si="8">SUM(B26:E26)</f>
        <v>1.7</v>
      </c>
      <c r="G26" s="92">
        <v>0.2</v>
      </c>
      <c r="H26" s="92">
        <v>0.8</v>
      </c>
      <c r="I26" s="92">
        <v>0.3</v>
      </c>
      <c r="J26" s="92">
        <v>0.5</v>
      </c>
      <c r="K26" s="92">
        <v>1.8</v>
      </c>
      <c r="L26" s="92">
        <v>0.5</v>
      </c>
      <c r="M26" s="92">
        <v>0.6</v>
      </c>
      <c r="N26" s="92">
        <v>0.6</v>
      </c>
      <c r="O26" s="92">
        <v>0.7</v>
      </c>
      <c r="P26" s="92">
        <v>2.4000000000000004</v>
      </c>
      <c r="Q26" s="115">
        <v>0.8</v>
      </c>
      <c r="R26" s="115">
        <v>1</v>
      </c>
      <c r="S26" s="115">
        <v>1.2</v>
      </c>
      <c r="T26" s="115">
        <v>1.2</v>
      </c>
      <c r="U26" s="115">
        <v>4.2</v>
      </c>
      <c r="V26" s="115">
        <v>0.3</v>
      </c>
      <c r="W26" s="115">
        <v>0.2</v>
      </c>
      <c r="X26" s="115">
        <v>0.1</v>
      </c>
      <c r="Y26" s="115">
        <v>-0.1</v>
      </c>
      <c r="Z26" s="115">
        <f t="shared" ref="Z26:Z31" si="9">SUM(V26:Y26)</f>
        <v>0.5</v>
      </c>
      <c r="AA26" s="115">
        <f>0.1-0.1</f>
        <v>0</v>
      </c>
      <c r="AB26" s="115">
        <v>0.1</v>
      </c>
      <c r="AC26" s="129">
        <v>0.1</v>
      </c>
    </row>
    <row r="27" spans="1:29" ht="13.5" customHeight="1" x14ac:dyDescent="0.25">
      <c r="A27" s="120" t="s">
        <v>162</v>
      </c>
      <c r="B27" s="128">
        <v>0</v>
      </c>
      <c r="C27" s="128">
        <v>0</v>
      </c>
      <c r="D27" s="128">
        <v>0</v>
      </c>
      <c r="E27" s="128">
        <v>0</v>
      </c>
      <c r="F27" s="128">
        <f t="shared" si="8"/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5">
        <v>0</v>
      </c>
      <c r="S27" s="115">
        <v>0</v>
      </c>
      <c r="T27" s="115">
        <v>0.1</v>
      </c>
      <c r="U27" s="115">
        <v>0.1</v>
      </c>
      <c r="V27" s="115">
        <v>0</v>
      </c>
      <c r="W27" s="115">
        <v>0</v>
      </c>
      <c r="X27" s="115">
        <v>0</v>
      </c>
      <c r="Y27" s="115">
        <v>0.2</v>
      </c>
      <c r="Z27" s="115">
        <f t="shared" si="9"/>
        <v>0.2</v>
      </c>
      <c r="AA27" s="115">
        <v>0</v>
      </c>
      <c r="AB27" s="115">
        <v>0</v>
      </c>
      <c r="AC27" s="129">
        <v>0</v>
      </c>
    </row>
    <row r="28" spans="1:29" ht="13.5" customHeight="1" x14ac:dyDescent="0.25">
      <c r="A28" s="120" t="s">
        <v>134</v>
      </c>
      <c r="B28" s="128">
        <v>0</v>
      </c>
      <c r="C28" s="128">
        <v>0</v>
      </c>
      <c r="D28" s="128">
        <v>0</v>
      </c>
      <c r="E28" s="128">
        <v>0</v>
      </c>
      <c r="F28" s="128">
        <f t="shared" si="8"/>
        <v>0</v>
      </c>
      <c r="G28" s="115">
        <v>0</v>
      </c>
      <c r="H28" s="115">
        <v>0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28.6</v>
      </c>
      <c r="S28" s="115">
        <v>0</v>
      </c>
      <c r="T28" s="115">
        <v>15.9</v>
      </c>
      <c r="U28" s="115">
        <v>44.5</v>
      </c>
      <c r="V28" s="115">
        <v>0</v>
      </c>
      <c r="W28" s="115">
        <v>0</v>
      </c>
      <c r="X28" s="115">
        <v>0</v>
      </c>
      <c r="Y28" s="115">
        <v>0</v>
      </c>
      <c r="Z28" s="115">
        <f t="shared" si="9"/>
        <v>0</v>
      </c>
      <c r="AA28" s="115">
        <v>0.1</v>
      </c>
      <c r="AB28" s="115">
        <v>16</v>
      </c>
      <c r="AC28" s="129">
        <v>0</v>
      </c>
    </row>
    <row r="29" spans="1:29" ht="13.5" customHeight="1" x14ac:dyDescent="0.25">
      <c r="A29" s="120" t="s">
        <v>120</v>
      </c>
      <c r="B29" s="128">
        <v>0</v>
      </c>
      <c r="C29" s="128">
        <v>0</v>
      </c>
      <c r="D29" s="128">
        <v>0</v>
      </c>
      <c r="E29" s="128">
        <v>0</v>
      </c>
      <c r="F29" s="128">
        <f t="shared" si="8"/>
        <v>0</v>
      </c>
      <c r="G29" s="115">
        <v>0</v>
      </c>
      <c r="H29" s="115">
        <v>0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f>-184.6+118.3</f>
        <v>-66.3</v>
      </c>
      <c r="W29" s="115">
        <v>0</v>
      </c>
      <c r="X29" s="115">
        <v>0</v>
      </c>
      <c r="Y29" s="115">
        <v>0</v>
      </c>
      <c r="Z29" s="115">
        <f t="shared" si="9"/>
        <v>-66.3</v>
      </c>
      <c r="AA29" s="115">
        <v>0</v>
      </c>
      <c r="AB29" s="115">
        <v>0</v>
      </c>
      <c r="AC29" s="129">
        <v>0</v>
      </c>
    </row>
    <row r="30" spans="1:29" ht="13.5" customHeight="1" x14ac:dyDescent="0.25">
      <c r="A30" s="121" t="s">
        <v>171</v>
      </c>
      <c r="B30" s="128">
        <v>0</v>
      </c>
      <c r="C30" s="128">
        <v>0</v>
      </c>
      <c r="D30" s="128">
        <v>0</v>
      </c>
      <c r="E30" s="128">
        <v>0</v>
      </c>
      <c r="F30" s="128">
        <f t="shared" si="8"/>
        <v>0</v>
      </c>
      <c r="G30" s="115">
        <v>0</v>
      </c>
      <c r="H30" s="115">
        <v>-34.299999999999997</v>
      </c>
      <c r="I30" s="115">
        <v>-1</v>
      </c>
      <c r="J30" s="115">
        <v>-0.1</v>
      </c>
      <c r="K30" s="115">
        <v>-35.4</v>
      </c>
      <c r="L30" s="115">
        <v>0</v>
      </c>
      <c r="M30" s="115">
        <v>0</v>
      </c>
      <c r="N30" s="115">
        <v>0</v>
      </c>
      <c r="O30" s="115">
        <v>0</v>
      </c>
      <c r="P30" s="115">
        <v>0</v>
      </c>
      <c r="Q30" s="115">
        <v>0</v>
      </c>
      <c r="R30" s="115">
        <v>0</v>
      </c>
      <c r="S30" s="115">
        <v>0</v>
      </c>
      <c r="T30" s="115">
        <v>0</v>
      </c>
      <c r="U30" s="115">
        <v>0</v>
      </c>
      <c r="V30" s="115">
        <v>0</v>
      </c>
      <c r="W30" s="115">
        <v>0</v>
      </c>
      <c r="X30" s="115">
        <v>0</v>
      </c>
      <c r="Y30" s="115">
        <v>0</v>
      </c>
      <c r="Z30" s="115">
        <f t="shared" si="9"/>
        <v>0</v>
      </c>
      <c r="AA30" s="115">
        <f>-59.8-11.9</f>
        <v>-71.7</v>
      </c>
      <c r="AB30" s="115">
        <v>0</v>
      </c>
      <c r="AC30" s="129">
        <v>0</v>
      </c>
    </row>
    <row r="31" spans="1:29" ht="13.5" customHeight="1" x14ac:dyDescent="0.25">
      <c r="A31" s="120" t="s">
        <v>133</v>
      </c>
      <c r="B31" s="128">
        <v>-89.7</v>
      </c>
      <c r="C31" s="128">
        <v>-118.2</v>
      </c>
      <c r="D31" s="128">
        <v>-117.2</v>
      </c>
      <c r="E31" s="128">
        <f>-76.2-0.1</f>
        <v>-76.3</v>
      </c>
      <c r="F31" s="128">
        <f t="shared" si="8"/>
        <v>-401.40000000000003</v>
      </c>
      <c r="G31" s="115">
        <v>-55.3</v>
      </c>
      <c r="H31" s="115">
        <v>-83.8</v>
      </c>
      <c r="I31" s="115">
        <v>-175</v>
      </c>
      <c r="J31" s="115">
        <v>-128.9</v>
      </c>
      <c r="K31" s="115">
        <v>-443</v>
      </c>
      <c r="L31" s="115">
        <v>-95.8</v>
      </c>
      <c r="M31" s="115">
        <v>-101.2</v>
      </c>
      <c r="N31" s="115">
        <v>-107.1</v>
      </c>
      <c r="O31" s="115">
        <v>-53.1</v>
      </c>
      <c r="P31" s="115">
        <v>-357.20000000000005</v>
      </c>
      <c r="Q31" s="115">
        <v>-48.2</v>
      </c>
      <c r="R31" s="115">
        <v>-44.2</v>
      </c>
      <c r="S31" s="115">
        <v>-93.7</v>
      </c>
      <c r="T31" s="115">
        <v>-87.4</v>
      </c>
      <c r="U31" s="115">
        <v>-273.5</v>
      </c>
      <c r="V31" s="115">
        <v>-49.4</v>
      </c>
      <c r="W31" s="115">
        <f>-13.2-3.6</f>
        <v>-16.8</v>
      </c>
      <c r="X31" s="115">
        <v>-10.3</v>
      </c>
      <c r="Y31" s="115">
        <v>-7.5</v>
      </c>
      <c r="Z31" s="115">
        <f t="shared" si="9"/>
        <v>-84</v>
      </c>
      <c r="AA31" s="115">
        <v>-14.7</v>
      </c>
      <c r="AB31" s="115">
        <v>-41.2</v>
      </c>
      <c r="AC31" s="129">
        <f>-79.7+6.8</f>
        <v>-72.900000000000006</v>
      </c>
    </row>
    <row r="32" spans="1:29" ht="13.5" customHeight="1" x14ac:dyDescent="0.25">
      <c r="A32" s="133" t="s">
        <v>16</v>
      </c>
      <c r="B32" s="135">
        <f>SUM(B26:B31)</f>
        <v>-89.2</v>
      </c>
      <c r="C32" s="135">
        <f t="shared" ref="C32:AC32" si="10">SUM(C26:C31)</f>
        <v>-117.7</v>
      </c>
      <c r="D32" s="135">
        <f t="shared" si="10"/>
        <v>-116.8</v>
      </c>
      <c r="E32" s="135">
        <f t="shared" si="10"/>
        <v>-76</v>
      </c>
      <c r="F32" s="135">
        <f t="shared" si="10"/>
        <v>-399.70000000000005</v>
      </c>
      <c r="G32" s="136">
        <f t="shared" si="10"/>
        <v>-55.099999999999994</v>
      </c>
      <c r="H32" s="136">
        <f t="shared" si="10"/>
        <v>-117.3</v>
      </c>
      <c r="I32" s="136">
        <f t="shared" si="10"/>
        <v>-175.7</v>
      </c>
      <c r="J32" s="136">
        <f t="shared" si="10"/>
        <v>-128.5</v>
      </c>
      <c r="K32" s="136">
        <f t="shared" si="10"/>
        <v>-476.6</v>
      </c>
      <c r="L32" s="136">
        <f t="shared" si="10"/>
        <v>-95.3</v>
      </c>
      <c r="M32" s="136">
        <f t="shared" si="10"/>
        <v>-100.60000000000001</v>
      </c>
      <c r="N32" s="136">
        <f t="shared" si="10"/>
        <v>-106.5</v>
      </c>
      <c r="O32" s="136">
        <f t="shared" si="10"/>
        <v>-52.4</v>
      </c>
      <c r="P32" s="136">
        <f t="shared" si="10"/>
        <v>-354.80000000000007</v>
      </c>
      <c r="Q32" s="136">
        <f t="shared" si="10"/>
        <v>-47.400000000000006</v>
      </c>
      <c r="R32" s="136">
        <f t="shared" si="10"/>
        <v>-14.600000000000001</v>
      </c>
      <c r="S32" s="136">
        <f t="shared" si="10"/>
        <v>-92.5</v>
      </c>
      <c r="T32" s="136">
        <f t="shared" si="10"/>
        <v>-70.2</v>
      </c>
      <c r="U32" s="136">
        <f t="shared" si="10"/>
        <v>-224.7</v>
      </c>
      <c r="V32" s="136">
        <f t="shared" si="10"/>
        <v>-115.4</v>
      </c>
      <c r="W32" s="136">
        <f t="shared" si="10"/>
        <v>-16.600000000000001</v>
      </c>
      <c r="X32" s="136">
        <f t="shared" si="10"/>
        <v>-10.200000000000001</v>
      </c>
      <c r="Y32" s="136">
        <f t="shared" si="10"/>
        <v>-7.4</v>
      </c>
      <c r="Z32" s="136">
        <f t="shared" si="10"/>
        <v>-149.6</v>
      </c>
      <c r="AA32" s="136">
        <f t="shared" si="10"/>
        <v>-86.300000000000011</v>
      </c>
      <c r="AB32" s="136">
        <f t="shared" si="10"/>
        <v>-25.1</v>
      </c>
      <c r="AC32" s="42">
        <f t="shared" si="10"/>
        <v>-72.800000000000011</v>
      </c>
    </row>
    <row r="33" spans="1:29" ht="13.5" customHeight="1" x14ac:dyDescent="0.25">
      <c r="A33" s="134"/>
      <c r="B33" s="112"/>
      <c r="C33" s="112"/>
      <c r="D33" s="112"/>
      <c r="E33" s="112"/>
      <c r="F33" s="112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72"/>
    </row>
    <row r="34" spans="1:29" ht="13.5" customHeight="1" x14ac:dyDescent="0.25">
      <c r="A34" s="120" t="s">
        <v>169</v>
      </c>
      <c r="B34" s="128">
        <v>159</v>
      </c>
      <c r="C34" s="128">
        <v>98</v>
      </c>
      <c r="D34" s="128">
        <v>124</v>
      </c>
      <c r="E34" s="128">
        <v>34</v>
      </c>
      <c r="F34" s="128">
        <f t="shared" ref="F34:F42" si="11">SUM(B34:E34)</f>
        <v>415</v>
      </c>
      <c r="G34" s="115">
        <v>100</v>
      </c>
      <c r="H34" s="115">
        <v>64</v>
      </c>
      <c r="I34" s="115">
        <v>177</v>
      </c>
      <c r="J34" s="115">
        <v>33</v>
      </c>
      <c r="K34" s="115">
        <v>374</v>
      </c>
      <c r="L34" s="115">
        <v>56</v>
      </c>
      <c r="M34" s="115">
        <v>25</v>
      </c>
      <c r="N34" s="115">
        <v>95</v>
      </c>
      <c r="O34" s="115">
        <v>65</v>
      </c>
      <c r="P34" s="115">
        <v>241</v>
      </c>
      <c r="Q34" s="115">
        <v>105</v>
      </c>
      <c r="R34" s="115">
        <v>340</v>
      </c>
      <c r="S34" s="115">
        <v>0</v>
      </c>
      <c r="T34" s="115">
        <v>556.20000000000005</v>
      </c>
      <c r="U34" s="115">
        <v>1001.2</v>
      </c>
      <c r="V34" s="115">
        <v>140</v>
      </c>
      <c r="W34" s="115">
        <v>0</v>
      </c>
      <c r="X34" s="115">
        <v>0</v>
      </c>
      <c r="Y34" s="115">
        <v>0</v>
      </c>
      <c r="Z34" s="115">
        <f t="shared" ref="Z34:Z42" si="12">SUM(V34:Y34)</f>
        <v>140</v>
      </c>
      <c r="AA34" s="115">
        <v>110</v>
      </c>
      <c r="AB34" s="115">
        <v>0</v>
      </c>
      <c r="AC34" s="129">
        <v>25</v>
      </c>
    </row>
    <row r="35" spans="1:29" ht="13.5" customHeight="1" x14ac:dyDescent="0.25">
      <c r="A35" s="120" t="s">
        <v>166</v>
      </c>
      <c r="B35" s="128">
        <v>0</v>
      </c>
      <c r="C35" s="128">
        <v>0</v>
      </c>
      <c r="D35" s="128">
        <v>100</v>
      </c>
      <c r="E35" s="128">
        <v>0</v>
      </c>
      <c r="F35" s="128">
        <f t="shared" si="11"/>
        <v>100</v>
      </c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>
        <v>0</v>
      </c>
      <c r="R35" s="115">
        <v>0</v>
      </c>
      <c r="S35" s="115">
        <v>0</v>
      </c>
      <c r="T35" s="115">
        <v>0</v>
      </c>
      <c r="U35" s="115">
        <v>0</v>
      </c>
      <c r="V35" s="115">
        <v>0</v>
      </c>
      <c r="W35" s="115">
        <v>0</v>
      </c>
      <c r="X35" s="115">
        <v>0</v>
      </c>
      <c r="Y35" s="115">
        <v>0</v>
      </c>
      <c r="Z35" s="115">
        <f t="shared" si="12"/>
        <v>0</v>
      </c>
      <c r="AA35" s="115">
        <v>59.1</v>
      </c>
      <c r="AB35" s="115">
        <v>2.5</v>
      </c>
      <c r="AC35" s="129">
        <v>0</v>
      </c>
    </row>
    <row r="36" spans="1:29" ht="13.5" customHeight="1" x14ac:dyDescent="0.25">
      <c r="A36" s="120" t="s">
        <v>163</v>
      </c>
      <c r="B36" s="128">
        <v>0</v>
      </c>
      <c r="C36" s="128">
        <v>0</v>
      </c>
      <c r="D36" s="128">
        <v>0</v>
      </c>
      <c r="E36" s="128">
        <v>0</v>
      </c>
      <c r="F36" s="128">
        <f t="shared" si="11"/>
        <v>0</v>
      </c>
      <c r="G36" s="115">
        <v>0</v>
      </c>
      <c r="H36" s="115">
        <v>16</v>
      </c>
      <c r="I36" s="115">
        <v>0</v>
      </c>
      <c r="J36" s="115">
        <v>278.89999999999998</v>
      </c>
      <c r="K36" s="115">
        <v>294.89999999999998</v>
      </c>
      <c r="L36" s="115">
        <v>-3</v>
      </c>
      <c r="M36" s="115">
        <v>6.3</v>
      </c>
      <c r="N36" s="115">
        <v>14.1</v>
      </c>
      <c r="O36" s="115">
        <v>13.7</v>
      </c>
      <c r="P36" s="115">
        <v>31.099999999999998</v>
      </c>
      <c r="Q36" s="115">
        <f>-2.6-4.7</f>
        <v>-7.3000000000000007</v>
      </c>
      <c r="R36" s="115">
        <v>-8.4</v>
      </c>
      <c r="S36" s="115">
        <v>-8.5</v>
      </c>
      <c r="T36" s="115">
        <v>-13.4</v>
      </c>
      <c r="U36" s="115">
        <v>-37.6</v>
      </c>
      <c r="V36" s="115">
        <v>-8.4</v>
      </c>
      <c r="W36" s="115">
        <v>-8.1</v>
      </c>
      <c r="X36" s="115">
        <v>-8.1999999999999993</v>
      </c>
      <c r="Y36" s="115">
        <v>-11.5</v>
      </c>
      <c r="Z36" s="115">
        <f t="shared" si="12"/>
        <v>-36.200000000000003</v>
      </c>
      <c r="AA36" s="115">
        <v>-4.7</v>
      </c>
      <c r="AB36" s="115">
        <v>-8</v>
      </c>
      <c r="AC36" s="129">
        <v>-7.9</v>
      </c>
    </row>
    <row r="37" spans="1:29" ht="13.5" customHeight="1" x14ac:dyDescent="0.25">
      <c r="A37" s="137" t="s">
        <v>137</v>
      </c>
      <c r="B37" s="128">
        <v>0</v>
      </c>
      <c r="C37" s="128">
        <v>0</v>
      </c>
      <c r="D37" s="128">
        <v>0</v>
      </c>
      <c r="E37" s="128">
        <v>0</v>
      </c>
      <c r="F37" s="128">
        <f t="shared" si="11"/>
        <v>0</v>
      </c>
      <c r="G37" s="115">
        <v>0</v>
      </c>
      <c r="H37" s="115">
        <v>0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5">
        <v>0</v>
      </c>
      <c r="V37" s="115">
        <v>0</v>
      </c>
      <c r="W37" s="115">
        <v>-9.9</v>
      </c>
      <c r="X37" s="115">
        <v>0</v>
      </c>
      <c r="Y37" s="115">
        <v>-0.1</v>
      </c>
      <c r="Z37" s="115">
        <f t="shared" si="12"/>
        <v>-10</v>
      </c>
      <c r="AA37" s="115">
        <v>0</v>
      </c>
      <c r="AB37" s="115">
        <v>0</v>
      </c>
      <c r="AC37" s="129">
        <v>0</v>
      </c>
    </row>
    <row r="38" spans="1:29" ht="13.5" customHeight="1" x14ac:dyDescent="0.2">
      <c r="A38" s="120" t="s">
        <v>17</v>
      </c>
      <c r="B38" s="128">
        <v>-21.4</v>
      </c>
      <c r="C38" s="128">
        <v>-20.7</v>
      </c>
      <c r="D38" s="128">
        <v>-28.3</v>
      </c>
      <c r="E38" s="128">
        <v>-21.9</v>
      </c>
      <c r="F38" s="128">
        <f t="shared" si="11"/>
        <v>-92.299999999999983</v>
      </c>
      <c r="G38" s="92">
        <v>-22.5</v>
      </c>
      <c r="H38" s="92">
        <v>-22.9</v>
      </c>
      <c r="I38" s="92">
        <v>-20.5</v>
      </c>
      <c r="J38" s="92">
        <v>-21.4</v>
      </c>
      <c r="K38" s="92">
        <v>-87.3</v>
      </c>
      <c r="L38" s="92">
        <v>-19.5</v>
      </c>
      <c r="M38" s="92">
        <v>-19.2</v>
      </c>
      <c r="N38" s="92">
        <v>-20.399999999999999</v>
      </c>
      <c r="O38" s="92">
        <v>-19.2</v>
      </c>
      <c r="P38" s="92">
        <v>-78.3</v>
      </c>
      <c r="Q38" s="115">
        <v>-21.2</v>
      </c>
      <c r="R38" s="115">
        <f>-13.3-14.5</f>
        <v>-27.8</v>
      </c>
      <c r="S38" s="115">
        <f>-34.1+14.5</f>
        <v>-19.600000000000001</v>
      </c>
      <c r="T38" s="115">
        <v>-23.7</v>
      </c>
      <c r="U38" s="115">
        <v>-92.3</v>
      </c>
      <c r="V38" s="115">
        <v>-12.4</v>
      </c>
      <c r="W38" s="115">
        <v>-15.4</v>
      </c>
      <c r="X38" s="115">
        <v>-10.8</v>
      </c>
      <c r="Y38" s="115">
        <v>-12</v>
      </c>
      <c r="Z38" s="115">
        <f t="shared" si="12"/>
        <v>-50.6</v>
      </c>
      <c r="AA38" s="115">
        <v>-10.3</v>
      </c>
      <c r="AB38" s="115">
        <v>-14.4</v>
      </c>
      <c r="AC38" s="129">
        <v>-12.8</v>
      </c>
    </row>
    <row r="39" spans="1:29" ht="13.5" customHeight="1" x14ac:dyDescent="0.25">
      <c r="A39" s="117" t="s">
        <v>165</v>
      </c>
      <c r="B39" s="128">
        <v>0</v>
      </c>
      <c r="C39" s="128">
        <v>0</v>
      </c>
      <c r="D39" s="128">
        <v>-4</v>
      </c>
      <c r="E39" s="128">
        <v>0</v>
      </c>
      <c r="F39" s="128">
        <f t="shared" si="11"/>
        <v>-4</v>
      </c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>
        <v>0</v>
      </c>
      <c r="R39" s="115">
        <v>0</v>
      </c>
      <c r="S39" s="115">
        <v>0</v>
      </c>
      <c r="T39" s="115">
        <v>0</v>
      </c>
      <c r="U39" s="115">
        <v>0</v>
      </c>
      <c r="V39" s="115">
        <v>0</v>
      </c>
      <c r="W39" s="115">
        <v>0</v>
      </c>
      <c r="X39" s="115">
        <v>0</v>
      </c>
      <c r="Y39" s="115">
        <v>0</v>
      </c>
      <c r="Z39" s="115">
        <f t="shared" si="12"/>
        <v>0</v>
      </c>
      <c r="AA39" s="115">
        <f>-3</f>
        <v>-3</v>
      </c>
      <c r="AB39" s="115">
        <v>0.3</v>
      </c>
      <c r="AC39" s="129">
        <v>0</v>
      </c>
    </row>
    <row r="40" spans="1:29" s="65" customFormat="1" ht="13.5" customHeight="1" x14ac:dyDescent="0.2">
      <c r="A40" s="120" t="s">
        <v>170</v>
      </c>
      <c r="B40" s="128">
        <v>-182.8</v>
      </c>
      <c r="C40" s="128">
        <v>-35.1</v>
      </c>
      <c r="D40" s="128">
        <v>-182.5</v>
      </c>
      <c r="E40" s="128">
        <v>-21</v>
      </c>
      <c r="F40" s="128">
        <f t="shared" si="11"/>
        <v>-421.4</v>
      </c>
      <c r="G40" s="92">
        <v>-96.8</v>
      </c>
      <c r="H40" s="92">
        <v>-276.2</v>
      </c>
      <c r="I40" s="92">
        <v>-77.5</v>
      </c>
      <c r="J40" s="92">
        <v>-275.39999999999998</v>
      </c>
      <c r="K40" s="92">
        <v>-725.9</v>
      </c>
      <c r="L40" s="92">
        <v>-108.5</v>
      </c>
      <c r="M40" s="92">
        <v>-35.5</v>
      </c>
      <c r="N40" s="92">
        <v>-80.7</v>
      </c>
      <c r="O40" s="92">
        <v>-53.6</v>
      </c>
      <c r="P40" s="92">
        <v>-278.3</v>
      </c>
      <c r="Q40" s="115">
        <v>-152</v>
      </c>
      <c r="R40" s="115">
        <v>-354.9</v>
      </c>
      <c r="S40" s="115">
        <v>-34.4</v>
      </c>
      <c r="T40" s="115">
        <v>-595.20000000000005</v>
      </c>
      <c r="U40" s="115">
        <v>-1136.5</v>
      </c>
      <c r="V40" s="115">
        <v>-175.5</v>
      </c>
      <c r="W40" s="115">
        <v>-28.6</v>
      </c>
      <c r="X40" s="115">
        <v>-109.4</v>
      </c>
      <c r="Y40" s="115">
        <v>-53.5</v>
      </c>
      <c r="Z40" s="115">
        <f t="shared" si="12"/>
        <v>-367</v>
      </c>
      <c r="AA40" s="115">
        <v>-58</v>
      </c>
      <c r="AB40" s="115">
        <v>-88.1</v>
      </c>
      <c r="AC40" s="129">
        <v>-33.200000000000003</v>
      </c>
    </row>
    <row r="41" spans="1:29" s="65" customFormat="1" ht="13.5" customHeight="1" x14ac:dyDescent="0.25">
      <c r="A41" s="120" t="s">
        <v>102</v>
      </c>
      <c r="B41" s="128">
        <v>0</v>
      </c>
      <c r="C41" s="128">
        <v>0</v>
      </c>
      <c r="D41" s="128">
        <v>0</v>
      </c>
      <c r="E41" s="128">
        <v>0</v>
      </c>
      <c r="F41" s="128">
        <f t="shared" si="11"/>
        <v>0</v>
      </c>
      <c r="G41" s="115">
        <v>0</v>
      </c>
      <c r="H41" s="115">
        <v>0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15">
        <v>0</v>
      </c>
      <c r="P41" s="115">
        <v>0</v>
      </c>
      <c r="Q41" s="115">
        <v>-2.6</v>
      </c>
      <c r="R41" s="115">
        <v>-2.5</v>
      </c>
      <c r="S41" s="115">
        <v>-2.6</v>
      </c>
      <c r="T41" s="115">
        <v>-2.6</v>
      </c>
      <c r="U41" s="115">
        <v>-10.3</v>
      </c>
      <c r="V41" s="115">
        <v>-1.4</v>
      </c>
      <c r="W41" s="115">
        <v>-1.5</v>
      </c>
      <c r="X41" s="115">
        <v>-1.6</v>
      </c>
      <c r="Y41" s="115">
        <v>-1.4</v>
      </c>
      <c r="Z41" s="115">
        <f t="shared" si="12"/>
        <v>-5.9</v>
      </c>
      <c r="AA41" s="115">
        <v>-1.6</v>
      </c>
      <c r="AB41" s="115">
        <v>-1.7</v>
      </c>
      <c r="AC41" s="129">
        <f>-1.6-6.8</f>
        <v>-8.4</v>
      </c>
    </row>
    <row r="42" spans="1:29" ht="13.5" customHeight="1" x14ac:dyDescent="0.25">
      <c r="A42" s="137" t="s">
        <v>136</v>
      </c>
      <c r="B42" s="128">
        <v>0</v>
      </c>
      <c r="C42" s="128">
        <v>0</v>
      </c>
      <c r="D42" s="128">
        <v>0</v>
      </c>
      <c r="E42" s="128">
        <v>0</v>
      </c>
      <c r="F42" s="128">
        <f t="shared" si="11"/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5">
        <v>0</v>
      </c>
      <c r="V42" s="115">
        <v>0</v>
      </c>
      <c r="W42" s="115">
        <v>-6.1</v>
      </c>
      <c r="X42" s="115">
        <v>-6.1</v>
      </c>
      <c r="Y42" s="115">
        <v>-6.4</v>
      </c>
      <c r="Z42" s="115">
        <f t="shared" si="12"/>
        <v>-18.600000000000001</v>
      </c>
      <c r="AA42" s="115">
        <v>-6.3</v>
      </c>
      <c r="AB42" s="115">
        <v>-6.3</v>
      </c>
      <c r="AC42" s="129">
        <v>-6.3</v>
      </c>
    </row>
    <row r="43" spans="1:29" ht="13.5" customHeight="1" x14ac:dyDescent="0.25">
      <c r="A43" s="133" t="s">
        <v>18</v>
      </c>
      <c r="B43" s="138">
        <f t="shared" ref="B43:X43" si="13">SUM(B34:B42)</f>
        <v>-45.200000000000017</v>
      </c>
      <c r="C43" s="138">
        <f t="shared" si="13"/>
        <v>42.199999999999996</v>
      </c>
      <c r="D43" s="138">
        <f t="shared" si="13"/>
        <v>9.1999999999999886</v>
      </c>
      <c r="E43" s="138">
        <f t="shared" si="13"/>
        <v>-8.8999999999999986</v>
      </c>
      <c r="F43" s="138">
        <f t="shared" si="13"/>
        <v>-2.6999999999999318</v>
      </c>
      <c r="G43" s="139">
        <f t="shared" si="13"/>
        <v>-19.299999999999997</v>
      </c>
      <c r="H43" s="139">
        <f t="shared" si="13"/>
        <v>-219.1</v>
      </c>
      <c r="I43" s="139">
        <f t="shared" si="13"/>
        <v>79</v>
      </c>
      <c r="J43" s="139">
        <f t="shared" si="13"/>
        <v>15.100000000000023</v>
      </c>
      <c r="K43" s="139">
        <f t="shared" si="13"/>
        <v>-144.29999999999995</v>
      </c>
      <c r="L43" s="139">
        <f t="shared" si="13"/>
        <v>-75</v>
      </c>
      <c r="M43" s="139">
        <f t="shared" si="13"/>
        <v>-23.4</v>
      </c>
      <c r="N43" s="139">
        <f t="shared" si="13"/>
        <v>7.9999999999999858</v>
      </c>
      <c r="O43" s="139">
        <f t="shared" si="13"/>
        <v>5.8999999999999986</v>
      </c>
      <c r="P43" s="139">
        <f t="shared" si="13"/>
        <v>-84.5</v>
      </c>
      <c r="Q43" s="139">
        <f t="shared" si="13"/>
        <v>-78.099999999999994</v>
      </c>
      <c r="R43" s="139">
        <f t="shared" si="13"/>
        <v>-53.599999999999966</v>
      </c>
      <c r="S43" s="139">
        <f t="shared" si="13"/>
        <v>-65.099999999999994</v>
      </c>
      <c r="T43" s="139">
        <f t="shared" si="13"/>
        <v>-78.700000000000017</v>
      </c>
      <c r="U43" s="139">
        <f t="shared" si="13"/>
        <v>-275.49999999999994</v>
      </c>
      <c r="V43" s="139">
        <f t="shared" si="13"/>
        <v>-57.70000000000001</v>
      </c>
      <c r="W43" s="139">
        <f t="shared" si="13"/>
        <v>-69.599999999999994</v>
      </c>
      <c r="X43" s="139">
        <f t="shared" si="13"/>
        <v>-136.1</v>
      </c>
      <c r="Y43" s="139">
        <f t="shared" ref="Y43:AC43" si="14">SUM(Y34:Y42)</f>
        <v>-84.9</v>
      </c>
      <c r="Z43" s="139">
        <f t="shared" si="14"/>
        <v>-348.3</v>
      </c>
      <c r="AA43" s="139">
        <f t="shared" si="14"/>
        <v>85.2</v>
      </c>
      <c r="AB43" s="139">
        <f t="shared" si="14"/>
        <v>-115.69999999999999</v>
      </c>
      <c r="AC43" s="140">
        <f t="shared" si="14"/>
        <v>-43.6</v>
      </c>
    </row>
    <row r="44" spans="1:29" ht="13.5" customHeight="1" x14ac:dyDescent="0.25">
      <c r="A44" s="141"/>
      <c r="B44" s="113"/>
      <c r="C44" s="113"/>
      <c r="D44" s="113"/>
      <c r="E44" s="113"/>
      <c r="F44" s="113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70"/>
    </row>
    <row r="45" spans="1:29" ht="13.5" customHeight="1" x14ac:dyDescent="0.25">
      <c r="A45" s="142" t="s">
        <v>19</v>
      </c>
      <c r="B45" s="135">
        <f t="shared" ref="B45:AC45" si="15">+B43+B32+B24</f>
        <v>-11.80000000000004</v>
      </c>
      <c r="C45" s="135">
        <f t="shared" si="15"/>
        <v>31.999999999999986</v>
      </c>
      <c r="D45" s="135">
        <f t="shared" si="15"/>
        <v>-28.600000000000009</v>
      </c>
      <c r="E45" s="135">
        <f t="shared" si="15"/>
        <v>-6.1000000000000085</v>
      </c>
      <c r="F45" s="135">
        <f t="shared" si="15"/>
        <v>-14.5</v>
      </c>
      <c r="G45" s="136">
        <f t="shared" si="15"/>
        <v>272.2</v>
      </c>
      <c r="H45" s="136">
        <f t="shared" si="15"/>
        <v>-230.09999999999997</v>
      </c>
      <c r="I45" s="136">
        <f t="shared" si="15"/>
        <v>-0.4000000000000199</v>
      </c>
      <c r="J45" s="136">
        <f t="shared" si="15"/>
        <v>-3.0999999999999801</v>
      </c>
      <c r="K45" s="136">
        <f t="shared" si="15"/>
        <v>38.600000000000136</v>
      </c>
      <c r="L45" s="136">
        <f t="shared" si="15"/>
        <v>17.199999999999989</v>
      </c>
      <c r="M45" s="136">
        <f t="shared" si="15"/>
        <v>-17.700000000000017</v>
      </c>
      <c r="N45" s="136">
        <f t="shared" si="15"/>
        <v>0.39999999999996305</v>
      </c>
      <c r="O45" s="136">
        <f t="shared" si="15"/>
        <v>-3.3000000000000256</v>
      </c>
      <c r="P45" s="136">
        <f t="shared" si="15"/>
        <v>-3.4000000000000909</v>
      </c>
      <c r="Q45" s="136">
        <f t="shared" si="15"/>
        <v>34.900000000000006</v>
      </c>
      <c r="R45" s="136">
        <f t="shared" si="15"/>
        <v>88.200000000000045</v>
      </c>
      <c r="S45" s="136">
        <f t="shared" si="15"/>
        <v>-5.7000000000000171</v>
      </c>
      <c r="T45" s="136">
        <f t="shared" si="15"/>
        <v>-9.3000000000000398</v>
      </c>
      <c r="U45" s="136">
        <f t="shared" si="15"/>
        <v>108.10000000000002</v>
      </c>
      <c r="V45" s="136">
        <f t="shared" si="15"/>
        <v>-78.400000000000006</v>
      </c>
      <c r="W45" s="136">
        <f t="shared" si="15"/>
        <v>34.200000000000017</v>
      </c>
      <c r="X45" s="136">
        <f t="shared" si="15"/>
        <v>-64.299999999999983</v>
      </c>
      <c r="Y45" s="136">
        <f t="shared" si="15"/>
        <v>-2.1000000000000369</v>
      </c>
      <c r="Z45" s="136">
        <f t="shared" si="15"/>
        <v>-110.59999999999991</v>
      </c>
      <c r="AA45" s="136">
        <f t="shared" si="15"/>
        <v>70.099999999999994</v>
      </c>
      <c r="AB45" s="136">
        <f t="shared" si="15"/>
        <v>-7.0999999999999659</v>
      </c>
      <c r="AC45" s="42">
        <f t="shared" si="15"/>
        <v>40.800000000000011</v>
      </c>
    </row>
    <row r="46" spans="1:29" ht="13.5" customHeight="1" x14ac:dyDescent="0.25">
      <c r="A46" s="141"/>
      <c r="B46" s="112"/>
      <c r="C46" s="112"/>
      <c r="D46" s="112"/>
      <c r="E46" s="112"/>
      <c r="F46" s="112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72"/>
    </row>
    <row r="47" spans="1:29" ht="13.5" customHeight="1" x14ac:dyDescent="0.25">
      <c r="A47" s="120" t="s">
        <v>20</v>
      </c>
      <c r="B47" s="114">
        <v>121.8</v>
      </c>
      <c r="C47" s="114">
        <f>+B48</f>
        <v>109.99999999999996</v>
      </c>
      <c r="D47" s="114">
        <f t="shared" ref="D47:E47" si="16">+C48</f>
        <v>141.99999999999994</v>
      </c>
      <c r="E47" s="114">
        <f t="shared" si="16"/>
        <v>113.39999999999993</v>
      </c>
      <c r="F47" s="114">
        <v>121.8</v>
      </c>
      <c r="G47" s="89">
        <v>106.9</v>
      </c>
      <c r="H47" s="89">
        <v>379.1</v>
      </c>
      <c r="I47" s="89">
        <v>149</v>
      </c>
      <c r="J47" s="89">
        <v>148.6</v>
      </c>
      <c r="K47" s="89">
        <v>106.9</v>
      </c>
      <c r="L47" s="89">
        <v>145.5</v>
      </c>
      <c r="M47" s="89">
        <v>162.69999999999999</v>
      </c>
      <c r="N47" s="89">
        <v>145</v>
      </c>
      <c r="O47" s="89">
        <v>145.4</v>
      </c>
      <c r="P47" s="89">
        <v>145.5</v>
      </c>
      <c r="Q47" s="89">
        <v>142.1</v>
      </c>
      <c r="R47" s="89">
        <v>177</v>
      </c>
      <c r="S47" s="89">
        <v>265.2</v>
      </c>
      <c r="T47" s="89">
        <v>259.5</v>
      </c>
      <c r="U47" s="89">
        <v>142.1</v>
      </c>
      <c r="V47" s="89">
        <v>250.2</v>
      </c>
      <c r="W47" s="89">
        <f>+V48</f>
        <v>171.79999999999998</v>
      </c>
      <c r="X47" s="89">
        <v>206</v>
      </c>
      <c r="Y47" s="89">
        <v>141.69999999999999</v>
      </c>
      <c r="Z47" s="89">
        <v>250.2</v>
      </c>
      <c r="AA47" s="89">
        <v>139.6</v>
      </c>
      <c r="AB47" s="89">
        <f>+AA48</f>
        <v>209.7</v>
      </c>
      <c r="AC47" s="71">
        <f>+AB48</f>
        <v>202.60000000000002</v>
      </c>
    </row>
    <row r="48" spans="1:29" ht="13.5" customHeight="1" x14ac:dyDescent="0.25">
      <c r="A48" s="133" t="s">
        <v>21</v>
      </c>
      <c r="B48" s="135">
        <f t="shared" ref="B48:D48" si="17">SUM(B45:B47)</f>
        <v>109.99999999999996</v>
      </c>
      <c r="C48" s="135">
        <f t="shared" si="17"/>
        <v>141.99999999999994</v>
      </c>
      <c r="D48" s="135">
        <f t="shared" si="17"/>
        <v>113.39999999999993</v>
      </c>
      <c r="E48" s="135">
        <f t="shared" ref="E48:AC48" si="18">SUM(E45:E47)</f>
        <v>107.29999999999993</v>
      </c>
      <c r="F48" s="135">
        <f t="shared" si="18"/>
        <v>107.3</v>
      </c>
      <c r="G48" s="136">
        <f t="shared" si="18"/>
        <v>379.1</v>
      </c>
      <c r="H48" s="136">
        <f t="shared" si="18"/>
        <v>149.00000000000006</v>
      </c>
      <c r="I48" s="136">
        <f t="shared" si="18"/>
        <v>148.59999999999997</v>
      </c>
      <c r="J48" s="136">
        <f t="shared" si="18"/>
        <v>145.5</v>
      </c>
      <c r="K48" s="136">
        <f t="shared" si="18"/>
        <v>145.50000000000014</v>
      </c>
      <c r="L48" s="136">
        <f t="shared" si="18"/>
        <v>162.69999999999999</v>
      </c>
      <c r="M48" s="136">
        <f t="shared" si="18"/>
        <v>144.99999999999997</v>
      </c>
      <c r="N48" s="136">
        <f t="shared" si="18"/>
        <v>145.39999999999998</v>
      </c>
      <c r="O48" s="136">
        <f t="shared" si="18"/>
        <v>142.09999999999997</v>
      </c>
      <c r="P48" s="136">
        <f t="shared" si="18"/>
        <v>142.09999999999991</v>
      </c>
      <c r="Q48" s="136">
        <f t="shared" si="18"/>
        <v>177</v>
      </c>
      <c r="R48" s="136">
        <f t="shared" si="18"/>
        <v>265.20000000000005</v>
      </c>
      <c r="S48" s="136">
        <f t="shared" si="18"/>
        <v>259.5</v>
      </c>
      <c r="T48" s="136">
        <f t="shared" si="18"/>
        <v>250.19999999999996</v>
      </c>
      <c r="U48" s="136">
        <f t="shared" si="18"/>
        <v>250.20000000000002</v>
      </c>
      <c r="V48" s="136">
        <f t="shared" si="18"/>
        <v>171.79999999999998</v>
      </c>
      <c r="W48" s="136">
        <f t="shared" si="18"/>
        <v>206</v>
      </c>
      <c r="X48" s="136">
        <f t="shared" si="18"/>
        <v>141.70000000000002</v>
      </c>
      <c r="Y48" s="136">
        <f t="shared" si="18"/>
        <v>139.59999999999997</v>
      </c>
      <c r="Z48" s="136">
        <f t="shared" si="18"/>
        <v>139.60000000000008</v>
      </c>
      <c r="AA48" s="136">
        <f t="shared" si="18"/>
        <v>209.7</v>
      </c>
      <c r="AB48" s="136">
        <f t="shared" si="18"/>
        <v>202.60000000000002</v>
      </c>
      <c r="AC48" s="42">
        <f t="shared" si="18"/>
        <v>243.40000000000003</v>
      </c>
    </row>
    <row r="49" spans="2:16" ht="13.5" customHeight="1" x14ac:dyDescent="0.25">
      <c r="O49" s="66"/>
      <c r="P49" s="66"/>
    </row>
    <row r="50" spans="2:16" ht="13.5" customHeight="1" x14ac:dyDescent="0.25"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</row>
    <row r="51" spans="2:16" ht="13.5" customHeight="1" x14ac:dyDescent="0.25"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</row>
  </sheetData>
  <pageMargins left="0.70866141732283472" right="0.70866141732283472" top="0.74803149606299213" bottom="0.74803149606299213" header="0.31496062992125984" footer="0.31496062992125984"/>
  <pageSetup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AC18"/>
  <sheetViews>
    <sheetView showGridLines="0" zoomScaleNormal="100" workbookViewId="0">
      <selection activeCell="U31" sqref="U31"/>
    </sheetView>
  </sheetViews>
  <sheetFormatPr defaultColWidth="8.85546875" defaultRowHeight="13.5" customHeight="1" x14ac:dyDescent="0.25"/>
  <cols>
    <col min="1" max="1" width="36.42578125" style="49" bestFit="1" customWidth="1"/>
    <col min="2" max="18" width="10.85546875" style="49" hidden="1" customWidth="1"/>
    <col min="19" max="29" width="10.85546875" style="49" customWidth="1"/>
    <col min="30" max="16384" width="8.85546875" style="49"/>
  </cols>
  <sheetData>
    <row r="2" spans="1:29" ht="13.5" customHeight="1" x14ac:dyDescent="0.25">
      <c r="A2" s="127"/>
      <c r="B2" s="123" t="s">
        <v>151</v>
      </c>
      <c r="C2" s="123" t="s">
        <v>150</v>
      </c>
      <c r="D2" s="123" t="s">
        <v>149</v>
      </c>
      <c r="E2" s="123" t="s">
        <v>148</v>
      </c>
      <c r="F2" s="123" t="s">
        <v>147</v>
      </c>
      <c r="G2" s="123" t="s">
        <v>146</v>
      </c>
      <c r="H2" s="123" t="s">
        <v>145</v>
      </c>
      <c r="I2" s="123" t="s">
        <v>144</v>
      </c>
      <c r="J2" s="123" t="s">
        <v>143</v>
      </c>
      <c r="K2" s="123" t="s">
        <v>142</v>
      </c>
      <c r="L2" s="123" t="s">
        <v>152</v>
      </c>
      <c r="M2" s="123" t="s">
        <v>76</v>
      </c>
      <c r="N2" s="125" t="s">
        <v>77</v>
      </c>
      <c r="O2" s="125" t="s">
        <v>78</v>
      </c>
      <c r="P2" s="125" t="s">
        <v>81</v>
      </c>
      <c r="Q2" s="125" t="s">
        <v>94</v>
      </c>
      <c r="R2" s="125" t="s">
        <v>103</v>
      </c>
      <c r="S2" s="125" t="s">
        <v>105</v>
      </c>
      <c r="T2" s="125" t="s">
        <v>107</v>
      </c>
      <c r="U2" s="125" t="s">
        <v>108</v>
      </c>
      <c r="V2" s="125" t="s">
        <v>114</v>
      </c>
      <c r="W2" s="125" t="s">
        <v>131</v>
      </c>
      <c r="X2" s="125" t="s">
        <v>138</v>
      </c>
      <c r="Y2" s="125" t="s">
        <v>158</v>
      </c>
      <c r="Z2" s="125" t="s">
        <v>159</v>
      </c>
      <c r="AA2" s="125" t="s">
        <v>164</v>
      </c>
      <c r="AB2" s="125" t="s">
        <v>167</v>
      </c>
      <c r="AC2" s="125" t="s">
        <v>173</v>
      </c>
    </row>
    <row r="3" spans="1:29" ht="13.5" customHeight="1" x14ac:dyDescent="0.25">
      <c r="A3" s="73" t="s">
        <v>0</v>
      </c>
      <c r="B3" s="81">
        <v>0.45400000000000001</v>
      </c>
      <c r="C3" s="81">
        <v>0.49</v>
      </c>
      <c r="D3" s="81">
        <v>0.48199999999999998</v>
      </c>
      <c r="E3" s="81">
        <v>0.55200000000000005</v>
      </c>
      <c r="F3" s="81">
        <v>0.501</v>
      </c>
      <c r="G3" s="81">
        <v>0.38800000000000001</v>
      </c>
      <c r="H3" s="81">
        <v>0.72599999999999998</v>
      </c>
      <c r="I3" s="81">
        <v>0.53800000000000003</v>
      </c>
      <c r="J3" s="81">
        <v>0.48899999999999999</v>
      </c>
      <c r="K3" s="81">
        <v>0.53700000000000003</v>
      </c>
      <c r="L3" s="81">
        <v>0.56399999999999995</v>
      </c>
      <c r="M3" s="81">
        <v>0.52600000000000002</v>
      </c>
      <c r="N3" s="81">
        <v>0.56899999999999995</v>
      </c>
      <c r="O3" s="87">
        <v>0.58299999999999996</v>
      </c>
      <c r="P3" s="87">
        <v>0.56200000000000006</v>
      </c>
      <c r="Q3" s="87">
        <v>0.63</v>
      </c>
      <c r="R3" s="87">
        <v>0.67</v>
      </c>
      <c r="S3" s="87">
        <v>0.60699999999999998</v>
      </c>
      <c r="T3" s="87">
        <v>0.55800000000000005</v>
      </c>
      <c r="U3" s="87">
        <v>0.61599999999999999</v>
      </c>
      <c r="V3" s="87">
        <v>0.504</v>
      </c>
      <c r="W3" s="87">
        <v>0.55100000000000005</v>
      </c>
      <c r="X3" s="87">
        <v>0.503</v>
      </c>
      <c r="Y3" s="87">
        <v>0.41299999999999998</v>
      </c>
      <c r="Z3" s="87">
        <v>0.49199999999999999</v>
      </c>
      <c r="AA3" s="87">
        <v>0.50600000000000001</v>
      </c>
      <c r="AB3" s="87">
        <v>0.438</v>
      </c>
      <c r="AC3" s="103">
        <v>0.48599999999999999</v>
      </c>
    </row>
    <row r="4" spans="1:29" ht="13.5" customHeight="1" x14ac:dyDescent="0.25">
      <c r="A4" s="73" t="s">
        <v>1</v>
      </c>
      <c r="B4" s="81">
        <v>0.28000000000000003</v>
      </c>
      <c r="C4" s="81">
        <v>0.27700000000000002</v>
      </c>
      <c r="D4" s="81">
        <v>0.30099999999999999</v>
      </c>
      <c r="E4" s="81">
        <v>0.27313756346684875</v>
      </c>
      <c r="F4" s="81">
        <v>0.27313756346684875</v>
      </c>
      <c r="G4" s="81">
        <v>0.27264012462179088</v>
      </c>
      <c r="H4" s="81">
        <v>0.29718901042991602</v>
      </c>
      <c r="I4" s="81">
        <v>0.28864019622872916</v>
      </c>
      <c r="J4" s="81">
        <v>0.36794437302793037</v>
      </c>
      <c r="K4" s="81">
        <v>0.36794437302793037</v>
      </c>
      <c r="L4" s="81">
        <v>0.37417833456153282</v>
      </c>
      <c r="M4" s="81">
        <v>0.37190180071321216</v>
      </c>
      <c r="N4" s="81">
        <v>0.37235853486733977</v>
      </c>
      <c r="O4" s="87">
        <v>0.38700000000000001</v>
      </c>
      <c r="P4" s="87">
        <v>0.38700000000000001</v>
      </c>
      <c r="Q4" s="87">
        <v>0.39600000000000002</v>
      </c>
      <c r="R4" s="87">
        <v>0.40500000000000003</v>
      </c>
      <c r="S4" s="87">
        <v>0.40799999999999997</v>
      </c>
      <c r="T4" s="87">
        <v>0.433</v>
      </c>
      <c r="U4" s="87">
        <v>0.433</v>
      </c>
      <c r="V4" s="87">
        <v>0.35</v>
      </c>
      <c r="W4" s="87">
        <v>0.35799999999999998</v>
      </c>
      <c r="X4" s="87">
        <v>0.375</v>
      </c>
      <c r="Y4" s="87">
        <v>0.36499999999999999</v>
      </c>
      <c r="Z4" s="87">
        <v>0.36499999999999999</v>
      </c>
      <c r="AA4" s="87">
        <v>0.39700000000000002</v>
      </c>
      <c r="AB4" s="87">
        <v>0.39900000000000002</v>
      </c>
      <c r="AC4" s="103">
        <v>0.39</v>
      </c>
    </row>
    <row r="5" spans="1:29" ht="13.5" customHeight="1" x14ac:dyDescent="0.25">
      <c r="A5" s="73" t="s">
        <v>2</v>
      </c>
      <c r="B5" s="87">
        <v>0</v>
      </c>
      <c r="C5" s="87">
        <v>1E-3</v>
      </c>
      <c r="D5" s="87">
        <v>-0.05</v>
      </c>
      <c r="E5" s="87">
        <v>-0.49099999999999999</v>
      </c>
      <c r="F5" s="87">
        <v>-0.14099999999999999</v>
      </c>
      <c r="G5" s="87">
        <v>-6.9000000000000006E-2</v>
      </c>
      <c r="H5" s="87">
        <v>4.9000000000000002E-2</v>
      </c>
      <c r="I5" s="87">
        <v>5.0000000000000001E-3</v>
      </c>
      <c r="J5" s="87">
        <v>0.17899999999999999</v>
      </c>
      <c r="K5" s="87">
        <v>4.4999999999999998E-2</v>
      </c>
      <c r="L5" s="87">
        <v>2.7E-2</v>
      </c>
      <c r="M5" s="87">
        <v>-2.4E-2</v>
      </c>
      <c r="N5" s="87">
        <v>4.8000000000000001E-2</v>
      </c>
      <c r="O5" s="87">
        <v>9.5000000000000001E-2</v>
      </c>
      <c r="P5" s="87">
        <v>3.6999999999999998E-2</v>
      </c>
      <c r="Q5" s="87">
        <v>0.157</v>
      </c>
      <c r="R5" s="87">
        <v>0.14000000000000001</v>
      </c>
      <c r="S5" s="87">
        <v>5.3999999999999999E-2</v>
      </c>
      <c r="T5" s="87">
        <v>4.8000000000000001E-2</v>
      </c>
      <c r="U5" s="87">
        <v>0.108</v>
      </c>
      <c r="V5" s="87">
        <v>-9.4E-2</v>
      </c>
      <c r="W5" s="87">
        <v>0.13800000000000001</v>
      </c>
      <c r="X5" s="87">
        <v>3.9E-2</v>
      </c>
      <c r="Y5" s="87">
        <v>-0.27700000000000002</v>
      </c>
      <c r="Z5" s="87">
        <v>-0.19400000000000001</v>
      </c>
      <c r="AA5" s="87">
        <v>0.437</v>
      </c>
      <c r="AB5" s="87">
        <v>5.3999999999999999E-2</v>
      </c>
      <c r="AC5" s="103">
        <v>3.5000000000000003E-2</v>
      </c>
    </row>
    <row r="6" spans="1:29" ht="13.5" customHeight="1" x14ac:dyDescent="0.25">
      <c r="A6" s="73" t="s">
        <v>3</v>
      </c>
      <c r="B6" s="87">
        <v>5.8000000000000003E-2</v>
      </c>
      <c r="C6" s="87">
        <v>0.04</v>
      </c>
      <c r="D6" s="87">
        <v>3.1E-2</v>
      </c>
      <c r="E6" s="87">
        <v>-0.215</v>
      </c>
      <c r="F6" s="87">
        <v>-1.4999999999999999E-2</v>
      </c>
      <c r="G6" s="87">
        <v>8.9999999999999993E-3</v>
      </c>
      <c r="H6" s="87">
        <v>6.8000000000000005E-2</v>
      </c>
      <c r="I6" s="87">
        <v>6.2E-2</v>
      </c>
      <c r="J6" s="87">
        <v>3.5999999999999997E-2</v>
      </c>
      <c r="K6" s="87">
        <v>0.04</v>
      </c>
      <c r="L6" s="87">
        <v>4.5999999999999999E-2</v>
      </c>
      <c r="M6" s="87">
        <v>3.3000000000000002E-2</v>
      </c>
      <c r="N6" s="87">
        <v>5.5E-2</v>
      </c>
      <c r="O6" s="87">
        <v>8.8999999999999996E-2</v>
      </c>
      <c r="P6" s="87">
        <v>5.7000000000000002E-2</v>
      </c>
      <c r="Q6" s="87">
        <v>0.113</v>
      </c>
      <c r="R6" s="87">
        <v>0.125</v>
      </c>
      <c r="S6" s="87">
        <v>0.09</v>
      </c>
      <c r="T6" s="87">
        <v>8.2000000000000003E-2</v>
      </c>
      <c r="U6" s="87">
        <v>0.10100000000000001</v>
      </c>
      <c r="V6" s="87">
        <v>-0.27700000000000002</v>
      </c>
      <c r="W6" s="87">
        <v>8.5000000000000006E-2</v>
      </c>
      <c r="X6" s="87">
        <v>5.7000000000000002E-2</v>
      </c>
      <c r="Y6" s="87">
        <v>-5.0999999999999997E-2</v>
      </c>
      <c r="Z6" s="87">
        <v>-4.9000000000000002E-2</v>
      </c>
      <c r="AA6" s="87">
        <v>7.4999999999999997E-2</v>
      </c>
      <c r="AB6" s="87">
        <v>3.9E-2</v>
      </c>
      <c r="AC6" s="103">
        <v>4.8000000000000001E-2</v>
      </c>
    </row>
    <row r="7" spans="1:29" ht="13.5" customHeight="1" x14ac:dyDescent="0.25">
      <c r="A7" s="73" t="s">
        <v>66</v>
      </c>
      <c r="B7" s="82">
        <v>1631.3</v>
      </c>
      <c r="C7" s="82">
        <v>1660.5</v>
      </c>
      <c r="D7" s="82">
        <v>1639.3</v>
      </c>
      <c r="E7" s="82">
        <v>1634.9</v>
      </c>
      <c r="F7" s="82">
        <v>1634.9</v>
      </c>
      <c r="G7" s="82">
        <v>1377.6</v>
      </c>
      <c r="H7" s="82">
        <v>1406.6</v>
      </c>
      <c r="I7" s="82">
        <v>1522.4</v>
      </c>
      <c r="J7" s="82">
        <v>1275.3</v>
      </c>
      <c r="K7" s="82">
        <v>1275.3</v>
      </c>
      <c r="L7" s="82">
        <v>1221</v>
      </c>
      <c r="M7" s="82">
        <v>1218.0999999999999</v>
      </c>
      <c r="N7" s="82">
        <v>1233.2</v>
      </c>
      <c r="O7" s="82">
        <v>1231.5999999999999</v>
      </c>
      <c r="P7" s="82">
        <f>+O7</f>
        <v>1231.5999999999999</v>
      </c>
      <c r="Q7" s="82">
        <v>1151.4000000000001</v>
      </c>
      <c r="R7" s="82">
        <v>1046.0999999999999</v>
      </c>
      <c r="S7" s="82">
        <v>999.1</v>
      </c>
      <c r="T7" s="82">
        <v>996.6</v>
      </c>
      <c r="U7" s="82">
        <v>996.6</v>
      </c>
      <c r="V7" s="82">
        <v>1068.2</v>
      </c>
      <c r="W7" s="82">
        <v>1015.4</v>
      </c>
      <c r="X7" s="82">
        <v>976.3</v>
      </c>
      <c r="Y7" s="82">
        <v>936.1</v>
      </c>
      <c r="Z7" s="82">
        <v>936.1</v>
      </c>
      <c r="AA7" s="82">
        <v>931.2</v>
      </c>
      <c r="AB7" s="82">
        <v>854.4</v>
      </c>
      <c r="AC7" s="83">
        <f>806.6+0.5</f>
        <v>807.1</v>
      </c>
    </row>
    <row r="8" spans="1:29" ht="13.5" customHeight="1" x14ac:dyDescent="0.25">
      <c r="A8" s="73" t="s">
        <v>72</v>
      </c>
      <c r="B8" s="107">
        <v>0.18</v>
      </c>
      <c r="C8" s="107">
        <v>0.16</v>
      </c>
      <c r="D8" s="107">
        <v>0.54</v>
      </c>
      <c r="E8" s="107">
        <v>0.42</v>
      </c>
      <c r="F8" s="107">
        <v>4.29</v>
      </c>
      <c r="G8" s="107">
        <v>1.87</v>
      </c>
      <c r="H8" s="107">
        <v>0.56999999999999995</v>
      </c>
      <c r="I8" s="107">
        <v>0.52</v>
      </c>
      <c r="J8" s="107">
        <v>0.6</v>
      </c>
      <c r="K8" s="107">
        <v>3.57</v>
      </c>
      <c r="L8" s="107">
        <v>1.01</v>
      </c>
      <c r="M8" s="107">
        <v>0.56999999999999995</v>
      </c>
      <c r="N8" s="107">
        <v>0.53</v>
      </c>
      <c r="O8" s="107">
        <v>0.23</v>
      </c>
      <c r="P8" s="107">
        <v>2.36</v>
      </c>
      <c r="Q8" s="46">
        <v>0.87</v>
      </c>
      <c r="R8" s="46">
        <v>0.85</v>
      </c>
      <c r="S8" s="46">
        <v>0.82</v>
      </c>
      <c r="T8" s="46">
        <v>0.75</v>
      </c>
      <c r="U8" s="46">
        <v>3.29</v>
      </c>
      <c r="V8" s="46">
        <v>0.51</v>
      </c>
      <c r="W8" s="46">
        <v>0.65</v>
      </c>
      <c r="X8" s="46">
        <v>0.44</v>
      </c>
      <c r="Y8" s="107">
        <v>0.49</v>
      </c>
      <c r="Z8" s="107">
        <v>2.09</v>
      </c>
      <c r="AA8" s="107">
        <v>0.38</v>
      </c>
      <c r="AB8" s="107">
        <v>0.72</v>
      </c>
      <c r="AC8" s="106">
        <v>0.85</v>
      </c>
    </row>
    <row r="9" spans="1:29" ht="13.5" customHeight="1" x14ac:dyDescent="0.25">
      <c r="A9" s="73" t="s">
        <v>112</v>
      </c>
      <c r="B9" s="102">
        <v>0</v>
      </c>
      <c r="C9" s="107">
        <v>-0.01</v>
      </c>
      <c r="D9" s="102">
        <v>-0.08</v>
      </c>
      <c r="E9" s="107">
        <v>-0.62</v>
      </c>
      <c r="F9" s="107">
        <v>-1.47</v>
      </c>
      <c r="G9" s="107">
        <v>-0.08</v>
      </c>
      <c r="H9" s="107">
        <v>0.03</v>
      </c>
      <c r="I9" s="107">
        <v>0.02</v>
      </c>
      <c r="J9" s="107">
        <v>0.25</v>
      </c>
      <c r="K9" s="107">
        <v>0.22</v>
      </c>
      <c r="L9" s="107">
        <v>0.09</v>
      </c>
      <c r="M9" s="107">
        <v>-0.05</v>
      </c>
      <c r="N9" s="107">
        <v>7.0000000000000007E-2</v>
      </c>
      <c r="O9" s="107">
        <v>0.05</v>
      </c>
      <c r="P9" s="107">
        <v>0.18</v>
      </c>
      <c r="Q9" s="46">
        <v>0.14000000000000001</v>
      </c>
      <c r="R9" s="46">
        <v>0.13</v>
      </c>
      <c r="S9" s="46">
        <v>0.03</v>
      </c>
      <c r="T9" s="46">
        <v>0.12</v>
      </c>
      <c r="U9" s="46">
        <v>0.45</v>
      </c>
      <c r="V9" s="107">
        <v>-1.49</v>
      </c>
      <c r="W9" s="107">
        <v>0.16</v>
      </c>
      <c r="X9" s="107">
        <v>7.0000000000000007E-2</v>
      </c>
      <c r="Y9" s="107">
        <v>-0.24</v>
      </c>
      <c r="Z9" s="107">
        <v>-1.51</v>
      </c>
      <c r="AA9" s="107">
        <v>0.54</v>
      </c>
      <c r="AB9" s="107">
        <v>0.04</v>
      </c>
      <c r="AC9" s="106">
        <v>0.03</v>
      </c>
    </row>
    <row r="10" spans="1:29" ht="13.5" customHeight="1" x14ac:dyDescent="0.25">
      <c r="A10" s="73" t="s">
        <v>113</v>
      </c>
      <c r="B10" s="102">
        <v>0</v>
      </c>
      <c r="C10" s="107">
        <v>-0.01</v>
      </c>
      <c r="D10" s="102">
        <v>-0.08</v>
      </c>
      <c r="E10" s="107">
        <v>-0.62</v>
      </c>
      <c r="F10" s="107">
        <v>-1.47</v>
      </c>
      <c r="G10" s="107">
        <v>-0.08</v>
      </c>
      <c r="H10" s="107">
        <v>0.03</v>
      </c>
      <c r="I10" s="107">
        <v>0.02</v>
      </c>
      <c r="J10" s="107">
        <v>0.25</v>
      </c>
      <c r="K10" s="107">
        <v>0.22</v>
      </c>
      <c r="L10" s="107">
        <v>0.09</v>
      </c>
      <c r="M10" s="107">
        <v>-0.05</v>
      </c>
      <c r="N10" s="107">
        <v>7.0000000000000007E-2</v>
      </c>
      <c r="O10" s="107">
        <v>0.05</v>
      </c>
      <c r="P10" s="107">
        <v>0.18</v>
      </c>
      <c r="Q10" s="46">
        <v>0.14000000000000001</v>
      </c>
      <c r="R10" s="46">
        <v>0.13</v>
      </c>
      <c r="S10" s="46">
        <v>0.03</v>
      </c>
      <c r="T10" s="46">
        <v>0.12</v>
      </c>
      <c r="U10" s="46">
        <v>0.44</v>
      </c>
      <c r="V10" s="107">
        <v>-1.26</v>
      </c>
      <c r="W10" s="107">
        <v>0.14000000000000001</v>
      </c>
      <c r="X10" s="107">
        <v>7.0000000000000007E-2</v>
      </c>
      <c r="Y10" s="107">
        <v>-0.19</v>
      </c>
      <c r="Z10" s="107">
        <v>-1.24</v>
      </c>
      <c r="AA10" s="107">
        <v>0.47</v>
      </c>
      <c r="AB10" s="107">
        <v>0.05</v>
      </c>
      <c r="AC10" s="106">
        <v>0.04</v>
      </c>
    </row>
    <row r="11" spans="1:29" ht="13.5" customHeight="1" x14ac:dyDescent="0.25">
      <c r="A11" s="73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4"/>
    </row>
    <row r="12" spans="1:29" ht="13.5" customHeight="1" x14ac:dyDescent="0.25">
      <c r="A12" s="73" t="s">
        <v>139</v>
      </c>
      <c r="B12" s="88">
        <v>688</v>
      </c>
      <c r="C12" s="88">
        <v>688</v>
      </c>
      <c r="D12" s="88">
        <v>185</v>
      </c>
      <c r="E12" s="88">
        <v>184.95632000000001</v>
      </c>
      <c r="F12" s="88">
        <v>184.95632000000001</v>
      </c>
      <c r="G12" s="88">
        <v>184.95632000000001</v>
      </c>
      <c r="H12" s="88">
        <v>184.95632000000001</v>
      </c>
      <c r="I12" s="88">
        <v>184.95632000000001</v>
      </c>
      <c r="J12" s="88">
        <v>184.95632000000001</v>
      </c>
      <c r="K12" s="88">
        <v>184.95632000000001</v>
      </c>
      <c r="L12" s="88">
        <v>184.95632000000001</v>
      </c>
      <c r="M12" s="88">
        <v>184.95632000000001</v>
      </c>
      <c r="N12" s="88">
        <f t="shared" ref="N12:R12" si="0">184956320/1000000</f>
        <v>184.95632000000001</v>
      </c>
      <c r="O12" s="90">
        <f t="shared" si="0"/>
        <v>184.95632000000001</v>
      </c>
      <c r="P12" s="90">
        <f t="shared" si="0"/>
        <v>184.95632000000001</v>
      </c>
      <c r="Q12" s="90">
        <f t="shared" si="0"/>
        <v>184.95632000000001</v>
      </c>
      <c r="R12" s="90">
        <f t="shared" si="0"/>
        <v>184.95632000000001</v>
      </c>
      <c r="S12" s="90">
        <v>185</v>
      </c>
      <c r="T12" s="90">
        <v>185</v>
      </c>
      <c r="U12" s="90">
        <f t="shared" ref="U12:V12" si="1">184956320/1000000</f>
        <v>184.95632000000001</v>
      </c>
      <c r="V12" s="90">
        <f t="shared" si="1"/>
        <v>184.95632000000001</v>
      </c>
      <c r="W12" s="90">
        <f>184.95632-4.156534</f>
        <v>180.79978600000001</v>
      </c>
      <c r="X12" s="90">
        <f t="shared" ref="X12:AC12" si="2">+W12</f>
        <v>180.79978600000001</v>
      </c>
      <c r="Y12" s="90">
        <f t="shared" si="2"/>
        <v>180.79978600000001</v>
      </c>
      <c r="Z12" s="90">
        <f t="shared" si="2"/>
        <v>180.79978600000001</v>
      </c>
      <c r="AA12" s="90">
        <f t="shared" si="2"/>
        <v>180.79978600000001</v>
      </c>
      <c r="AB12" s="90">
        <f t="shared" si="2"/>
        <v>180.79978600000001</v>
      </c>
      <c r="AC12" s="104">
        <f t="shared" si="2"/>
        <v>180.79978600000001</v>
      </c>
    </row>
    <row r="13" spans="1:29" ht="13.5" customHeight="1" x14ac:dyDescent="0.25">
      <c r="A13" s="73" t="s">
        <v>4</v>
      </c>
      <c r="B13" s="80">
        <v>1.3</v>
      </c>
      <c r="C13" s="80">
        <v>0.77</v>
      </c>
      <c r="D13" s="80">
        <v>17</v>
      </c>
      <c r="E13" s="80">
        <v>27.7</v>
      </c>
      <c r="F13" s="80">
        <v>27.7</v>
      </c>
      <c r="G13" s="80">
        <v>21</v>
      </c>
      <c r="H13" s="80">
        <v>21</v>
      </c>
      <c r="I13" s="80">
        <v>27.9</v>
      </c>
      <c r="J13" s="80">
        <v>35.799999999999997</v>
      </c>
      <c r="K13" s="80">
        <v>35.799999999999997</v>
      </c>
      <c r="L13" s="80">
        <v>42.8</v>
      </c>
      <c r="M13" s="80">
        <v>41.7</v>
      </c>
      <c r="N13" s="80">
        <v>64.599999999999994</v>
      </c>
      <c r="O13" s="75">
        <v>31.7</v>
      </c>
      <c r="P13" s="75">
        <f>+O13</f>
        <v>31.7</v>
      </c>
      <c r="Q13" s="75">
        <v>44.8</v>
      </c>
      <c r="R13" s="75">
        <v>52</v>
      </c>
      <c r="S13" s="76">
        <v>62.8</v>
      </c>
      <c r="T13" s="76">
        <v>66</v>
      </c>
      <c r="U13" s="76">
        <v>66</v>
      </c>
      <c r="V13" s="75">
        <v>18.100000000000001</v>
      </c>
      <c r="W13" s="75">
        <v>31.6</v>
      </c>
      <c r="X13" s="75">
        <v>26.6</v>
      </c>
      <c r="Y13" s="75">
        <v>37.700000000000003</v>
      </c>
      <c r="Z13" s="75">
        <v>37.700000000000003</v>
      </c>
      <c r="AA13" s="75">
        <v>35.299999999999997</v>
      </c>
      <c r="AB13" s="76">
        <v>30.8</v>
      </c>
      <c r="AC13" s="119">
        <v>28.4</v>
      </c>
    </row>
    <row r="14" spans="1:29" ht="13.5" customHeight="1" x14ac:dyDescent="0.25">
      <c r="A14" s="73" t="s">
        <v>5</v>
      </c>
      <c r="B14" s="84">
        <v>894</v>
      </c>
      <c r="C14" s="84">
        <v>530</v>
      </c>
      <c r="D14" s="84">
        <v>3144</v>
      </c>
      <c r="E14" s="84">
        <v>5123</v>
      </c>
      <c r="F14" s="84">
        <v>5123</v>
      </c>
      <c r="G14" s="84">
        <v>3884</v>
      </c>
      <c r="H14" s="84">
        <v>3884</v>
      </c>
      <c r="I14" s="84">
        <v>5160</v>
      </c>
      <c r="J14" s="84">
        <v>6621</v>
      </c>
      <c r="K14" s="84">
        <v>6621</v>
      </c>
      <c r="L14" s="84">
        <v>7916</v>
      </c>
      <c r="M14" s="84">
        <v>7713</v>
      </c>
      <c r="N14" s="84">
        <v>11948</v>
      </c>
      <c r="O14" s="84">
        <v>5854</v>
      </c>
      <c r="P14" s="84">
        <f>+O14</f>
        <v>5854</v>
      </c>
      <c r="Q14" s="84">
        <v>8286</v>
      </c>
      <c r="R14" s="84">
        <v>9608</v>
      </c>
      <c r="S14" s="84">
        <v>11615</v>
      </c>
      <c r="T14" s="84">
        <v>12207</v>
      </c>
      <c r="U14" s="84">
        <v>12207</v>
      </c>
      <c r="V14" s="84">
        <v>3353</v>
      </c>
      <c r="W14" s="84">
        <v>5713</v>
      </c>
      <c r="X14" s="84">
        <v>4806</v>
      </c>
      <c r="Y14" s="84">
        <v>6820</v>
      </c>
      <c r="Z14" s="84">
        <v>6820</v>
      </c>
      <c r="AA14" s="84">
        <v>6386</v>
      </c>
      <c r="AB14" s="84">
        <v>5565</v>
      </c>
      <c r="AC14" s="85">
        <v>5135</v>
      </c>
    </row>
    <row r="15" spans="1:29" ht="13.5" customHeight="1" x14ac:dyDescent="0.25">
      <c r="A15" s="73" t="s">
        <v>6</v>
      </c>
      <c r="B15" s="84">
        <v>108</v>
      </c>
      <c r="C15" s="84">
        <v>63</v>
      </c>
      <c r="D15" s="84">
        <v>391</v>
      </c>
      <c r="E15" s="84">
        <v>594</v>
      </c>
      <c r="F15" s="84">
        <v>594</v>
      </c>
      <c r="G15" s="84">
        <v>453</v>
      </c>
      <c r="H15" s="84">
        <v>463</v>
      </c>
      <c r="I15" s="84">
        <v>647</v>
      </c>
      <c r="J15" s="84">
        <v>807</v>
      </c>
      <c r="K15" s="84">
        <v>807</v>
      </c>
      <c r="L15" s="84">
        <v>1018</v>
      </c>
      <c r="M15" s="84">
        <v>945</v>
      </c>
      <c r="N15" s="84">
        <v>1461</v>
      </c>
      <c r="O15" s="84">
        <v>674</v>
      </c>
      <c r="P15" s="84">
        <f>+O15</f>
        <v>674</v>
      </c>
      <c r="Q15" s="84">
        <v>964</v>
      </c>
      <c r="R15" s="84">
        <v>1128</v>
      </c>
      <c r="S15" s="84">
        <v>1278</v>
      </c>
      <c r="T15" s="84">
        <v>1390</v>
      </c>
      <c r="U15" s="84">
        <v>1390</v>
      </c>
      <c r="V15" s="84">
        <v>319</v>
      </c>
      <c r="W15" s="84">
        <v>594</v>
      </c>
      <c r="X15" s="84">
        <v>515</v>
      </c>
      <c r="Y15" s="84">
        <v>795</v>
      </c>
      <c r="Z15" s="84">
        <v>795</v>
      </c>
      <c r="AA15" s="84">
        <v>748</v>
      </c>
      <c r="AB15" s="84">
        <v>647</v>
      </c>
      <c r="AC15" s="85">
        <v>587</v>
      </c>
    </row>
    <row r="16" spans="1:29" ht="13.5" customHeight="1" x14ac:dyDescent="0.25">
      <c r="A16" s="77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</row>
    <row r="18" spans="1:1" ht="13.5" customHeight="1" x14ac:dyDescent="0.25">
      <c r="A18" s="78"/>
    </row>
  </sheetData>
  <pageMargins left="0.7" right="0.7" top="0.75" bottom="0.75" header="0.3" footer="0.3"/>
  <pageSetup paperSize="9"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/>
  <dimension ref="A2:AC30"/>
  <sheetViews>
    <sheetView showGridLines="0" workbookViewId="0">
      <selection activeCell="AG32" sqref="AG32"/>
    </sheetView>
  </sheetViews>
  <sheetFormatPr defaultRowHeight="13.5" customHeight="1" x14ac:dyDescent="0.25"/>
  <cols>
    <col min="1" max="1" width="37.85546875" customWidth="1"/>
    <col min="2" max="4" width="9.5703125" style="7" hidden="1" customWidth="1"/>
    <col min="5" max="5" width="9.7109375" style="7" hidden="1" customWidth="1"/>
    <col min="6" max="14" width="9.5703125" style="7" hidden="1" customWidth="1"/>
    <col min="15" max="17" width="9.5703125" hidden="1" customWidth="1"/>
    <col min="18" max="18" width="9.5703125" style="7" hidden="1" customWidth="1"/>
    <col min="19" max="29" width="10.85546875" style="7" customWidth="1"/>
    <col min="30" max="31" width="9.28515625" bestFit="1" customWidth="1"/>
  </cols>
  <sheetData>
    <row r="2" spans="1:29" ht="13.5" customHeight="1" x14ac:dyDescent="0.25">
      <c r="A2" s="122"/>
      <c r="B2" s="123" t="s">
        <v>151</v>
      </c>
      <c r="C2" s="123" t="s">
        <v>150</v>
      </c>
      <c r="D2" s="123" t="s">
        <v>149</v>
      </c>
      <c r="E2" s="123" t="s">
        <v>148</v>
      </c>
      <c r="F2" s="123" t="s">
        <v>147</v>
      </c>
      <c r="G2" s="123" t="s">
        <v>146</v>
      </c>
      <c r="H2" s="123" t="s">
        <v>145</v>
      </c>
      <c r="I2" s="123" t="s">
        <v>144</v>
      </c>
      <c r="J2" s="123" t="s">
        <v>143</v>
      </c>
      <c r="K2" s="123" t="s">
        <v>142</v>
      </c>
      <c r="L2" s="123" t="s">
        <v>152</v>
      </c>
      <c r="M2" s="123" t="s">
        <v>76</v>
      </c>
      <c r="N2" s="123" t="s">
        <v>77</v>
      </c>
      <c r="O2" s="123" t="s">
        <v>78</v>
      </c>
      <c r="P2" s="123" t="s">
        <v>81</v>
      </c>
      <c r="Q2" s="123" t="s">
        <v>94</v>
      </c>
      <c r="R2" s="123" t="s">
        <v>103</v>
      </c>
      <c r="S2" s="123" t="s">
        <v>105</v>
      </c>
      <c r="T2" s="123" t="s">
        <v>107</v>
      </c>
      <c r="U2" s="123" t="s">
        <v>108</v>
      </c>
      <c r="V2" s="123" t="s">
        <v>114</v>
      </c>
      <c r="W2" s="123" t="s">
        <v>131</v>
      </c>
      <c r="X2" s="123" t="s">
        <v>138</v>
      </c>
      <c r="Y2" s="123" t="s">
        <v>158</v>
      </c>
      <c r="Z2" s="123" t="s">
        <v>159</v>
      </c>
      <c r="AA2" s="123" t="s">
        <v>164</v>
      </c>
      <c r="AB2" s="123" t="s">
        <v>167</v>
      </c>
      <c r="AC2" s="123" t="s">
        <v>173</v>
      </c>
    </row>
    <row r="3" spans="1:29" ht="13.5" customHeight="1" x14ac:dyDescent="0.25">
      <c r="A3" s="18" t="s">
        <v>88</v>
      </c>
      <c r="B3" s="19">
        <v>108.5</v>
      </c>
      <c r="C3" s="19">
        <v>68.400000000000006</v>
      </c>
      <c r="D3" s="19">
        <v>57.9</v>
      </c>
      <c r="E3" s="19">
        <v>197.6</v>
      </c>
      <c r="F3" s="19">
        <f>SUM(B3:E3)</f>
        <v>432.4</v>
      </c>
      <c r="G3" s="19">
        <v>60.3</v>
      </c>
      <c r="H3" s="19">
        <v>61.5</v>
      </c>
      <c r="I3" s="19">
        <v>54.9</v>
      </c>
      <c r="J3" s="19">
        <v>57.3</v>
      </c>
      <c r="K3" s="19">
        <v>234</v>
      </c>
      <c r="L3" s="19">
        <v>54.6</v>
      </c>
      <c r="M3" s="19">
        <v>60.6</v>
      </c>
      <c r="N3" s="19">
        <v>56.3</v>
      </c>
      <c r="O3" s="19">
        <v>58.4</v>
      </c>
      <c r="P3" s="19">
        <v>229.9</v>
      </c>
      <c r="Q3" s="19">
        <v>56.6</v>
      </c>
      <c r="R3" s="19">
        <v>64.099999999999994</v>
      </c>
      <c r="S3" s="19">
        <v>61.1</v>
      </c>
      <c r="T3" s="19">
        <v>58.4</v>
      </c>
      <c r="U3" s="19">
        <f>SUM(Q3:T3)</f>
        <v>240.2</v>
      </c>
      <c r="V3" s="19">
        <v>64.7</v>
      </c>
      <c r="W3" s="19">
        <v>60.2</v>
      </c>
      <c r="X3" s="19">
        <v>51.9</v>
      </c>
      <c r="Y3" s="19">
        <v>46.4</v>
      </c>
      <c r="Z3" s="19">
        <f>SUM(V3:Y3)</f>
        <v>223.20000000000002</v>
      </c>
      <c r="AA3" s="19">
        <v>53.2</v>
      </c>
      <c r="AB3" s="19">
        <v>46.3</v>
      </c>
      <c r="AC3" s="20">
        <v>41.1</v>
      </c>
    </row>
    <row r="4" spans="1:29" ht="13.5" customHeight="1" x14ac:dyDescent="0.25">
      <c r="A4" s="21" t="s">
        <v>89</v>
      </c>
      <c r="B4" s="22">
        <v>80.099999999999994</v>
      </c>
      <c r="C4" s="22">
        <v>78</v>
      </c>
      <c r="D4" s="22">
        <v>73.3</v>
      </c>
      <c r="E4" s="23">
        <v>73.7</v>
      </c>
      <c r="F4" s="19">
        <f t="shared" ref="F4:F5" si="0">SUM(B4:E4)</f>
        <v>305.09999999999997</v>
      </c>
      <c r="G4" s="23">
        <v>73.400000000000006</v>
      </c>
      <c r="H4" s="23">
        <v>76.3</v>
      </c>
      <c r="I4" s="23">
        <v>71.5</v>
      </c>
      <c r="J4" s="23">
        <v>65</v>
      </c>
      <c r="K4" s="23">
        <v>286.2</v>
      </c>
      <c r="L4" s="23">
        <v>109.1</v>
      </c>
      <c r="M4" s="23">
        <v>110.7</v>
      </c>
      <c r="N4" s="23">
        <v>135.9</v>
      </c>
      <c r="O4" s="19">
        <v>166.2</v>
      </c>
      <c r="P4" s="19">
        <v>521.9</v>
      </c>
      <c r="Q4" s="19">
        <v>212.7</v>
      </c>
      <c r="R4" s="19">
        <v>187.6</v>
      </c>
      <c r="S4" s="19">
        <v>180.9</v>
      </c>
      <c r="T4" s="19">
        <v>223.4</v>
      </c>
      <c r="U4" s="19">
        <f t="shared" ref="U4:U5" si="1">SUM(Q4:T4)</f>
        <v>804.59999999999991</v>
      </c>
      <c r="V4" s="19">
        <v>172.2</v>
      </c>
      <c r="W4" s="19">
        <f>134.3-2.2</f>
        <v>132.10000000000002</v>
      </c>
      <c r="X4" s="19">
        <v>118.6</v>
      </c>
      <c r="Y4" s="19">
        <v>149.19999999999999</v>
      </c>
      <c r="Z4" s="19">
        <f t="shared" ref="Z4:Z5" si="2">SUM(V4:Y4)</f>
        <v>572.09999999999991</v>
      </c>
      <c r="AA4" s="19">
        <v>126.5</v>
      </c>
      <c r="AB4" s="19">
        <v>127.9</v>
      </c>
      <c r="AC4" s="20">
        <v>132.30000000000001</v>
      </c>
    </row>
    <row r="5" spans="1:29" ht="13.5" customHeight="1" x14ac:dyDescent="0.25">
      <c r="A5" s="21" t="s">
        <v>90</v>
      </c>
      <c r="B5" s="19">
        <v>25.8</v>
      </c>
      <c r="C5" s="19">
        <v>26.1</v>
      </c>
      <c r="D5" s="19">
        <v>28.4</v>
      </c>
      <c r="E5" s="19">
        <v>26.9</v>
      </c>
      <c r="F5" s="19">
        <f t="shared" si="0"/>
        <v>107.20000000000002</v>
      </c>
      <c r="G5" s="19">
        <v>25.9</v>
      </c>
      <c r="H5" s="19">
        <v>25.6</v>
      </c>
      <c r="I5" s="19">
        <v>26.3</v>
      </c>
      <c r="J5" s="19">
        <v>28</v>
      </c>
      <c r="K5" s="19">
        <v>105.8</v>
      </c>
      <c r="L5" s="19">
        <v>28.8</v>
      </c>
      <c r="M5" s="19">
        <v>28.9</v>
      </c>
      <c r="N5" s="19">
        <v>30.1</v>
      </c>
      <c r="O5" s="19">
        <v>30.8</v>
      </c>
      <c r="P5" s="19">
        <v>118.6</v>
      </c>
      <c r="Q5" s="19">
        <v>27.1</v>
      </c>
      <c r="R5" s="19">
        <v>34.299999999999997</v>
      </c>
      <c r="S5" s="19">
        <v>25.2</v>
      </c>
      <c r="T5" s="19">
        <v>21.6</v>
      </c>
      <c r="U5" s="19">
        <f t="shared" si="1"/>
        <v>108.19999999999999</v>
      </c>
      <c r="V5" s="19">
        <v>20.8</v>
      </c>
      <c r="W5" s="19">
        <v>18.7</v>
      </c>
      <c r="X5" s="19">
        <v>24.6</v>
      </c>
      <c r="Y5" s="19">
        <f>31.1-4.2</f>
        <v>26.900000000000002</v>
      </c>
      <c r="Z5" s="19">
        <f t="shared" si="2"/>
        <v>91</v>
      </c>
      <c r="AA5" s="19">
        <v>39.200000000000003</v>
      </c>
      <c r="AB5" s="19">
        <v>33.6</v>
      </c>
      <c r="AC5" s="20">
        <v>26.2</v>
      </c>
    </row>
    <row r="6" spans="1:29" ht="13.5" customHeight="1" x14ac:dyDescent="0.25">
      <c r="A6" s="24" t="s">
        <v>161</v>
      </c>
      <c r="B6" s="25">
        <f t="shared" ref="B6:N6" si="3">SUM(B3:B5)</f>
        <v>214.4</v>
      </c>
      <c r="C6" s="25">
        <f t="shared" ref="C6:E6" si="4">SUM(C3:C5)</f>
        <v>172.5</v>
      </c>
      <c r="D6" s="25">
        <f t="shared" si="4"/>
        <v>159.6</v>
      </c>
      <c r="E6" s="25">
        <f t="shared" si="4"/>
        <v>298.2</v>
      </c>
      <c r="F6" s="25">
        <f t="shared" si="3"/>
        <v>844.7</v>
      </c>
      <c r="G6" s="25">
        <f t="shared" si="3"/>
        <v>159.6</v>
      </c>
      <c r="H6" s="25">
        <f t="shared" si="3"/>
        <v>163.4</v>
      </c>
      <c r="I6" s="25">
        <f t="shared" si="3"/>
        <v>152.70000000000002</v>
      </c>
      <c r="J6" s="25">
        <f t="shared" si="3"/>
        <v>150.30000000000001</v>
      </c>
      <c r="K6" s="25">
        <f t="shared" si="3"/>
        <v>626</v>
      </c>
      <c r="L6" s="25">
        <f t="shared" si="3"/>
        <v>192.5</v>
      </c>
      <c r="M6" s="25">
        <f t="shared" si="3"/>
        <v>200.20000000000002</v>
      </c>
      <c r="N6" s="25">
        <f t="shared" si="3"/>
        <v>222.29999999999998</v>
      </c>
      <c r="O6" s="25">
        <f t="shared" ref="O6:P6" si="5">SUM(O3:O5)</f>
        <v>255.4</v>
      </c>
      <c r="P6" s="25">
        <f t="shared" si="5"/>
        <v>870.4</v>
      </c>
      <c r="Q6" s="25">
        <f t="shared" ref="Q6:R6" si="6">SUM(Q3:Q5)</f>
        <v>296.40000000000003</v>
      </c>
      <c r="R6" s="25">
        <f t="shared" si="6"/>
        <v>286</v>
      </c>
      <c r="S6" s="25">
        <f t="shared" ref="S6:T6" si="7">SUM(S3:S5)</f>
        <v>267.2</v>
      </c>
      <c r="T6" s="25">
        <f t="shared" si="7"/>
        <v>303.40000000000003</v>
      </c>
      <c r="U6" s="25">
        <f t="shared" ref="U6:V6" si="8">SUM(U3:U5)</f>
        <v>1153</v>
      </c>
      <c r="V6" s="25">
        <f t="shared" si="8"/>
        <v>257.7</v>
      </c>
      <c r="W6" s="25">
        <f t="shared" ref="W6:X6" si="9">SUM(W3:W5)</f>
        <v>211</v>
      </c>
      <c r="X6" s="25">
        <f t="shared" si="9"/>
        <v>195.1</v>
      </c>
      <c r="Y6" s="25">
        <f t="shared" ref="Y6:Z6" si="10">SUM(Y3:Y5)</f>
        <v>222.5</v>
      </c>
      <c r="Z6" s="25">
        <f t="shared" si="10"/>
        <v>886.3</v>
      </c>
      <c r="AA6" s="25">
        <f t="shared" ref="AA6:AB6" si="11">SUM(AA3:AA5)</f>
        <v>218.89999999999998</v>
      </c>
      <c r="AB6" s="25">
        <f t="shared" si="11"/>
        <v>207.79999999999998</v>
      </c>
      <c r="AC6" s="26">
        <f t="shared" ref="AC6" si="12">SUM(AC3:AC5)</f>
        <v>199.6</v>
      </c>
    </row>
    <row r="7" spans="1:29" ht="13.5" customHeight="1" x14ac:dyDescent="0.25">
      <c r="Q7" s="7"/>
    </row>
    <row r="8" spans="1:29" ht="13.5" customHeight="1" x14ac:dyDescent="0.25">
      <c r="A8" s="122"/>
      <c r="B8" s="123" t="s">
        <v>151</v>
      </c>
      <c r="C8" s="123" t="s">
        <v>150</v>
      </c>
      <c r="D8" s="123" t="s">
        <v>149</v>
      </c>
      <c r="E8" s="123" t="s">
        <v>148</v>
      </c>
      <c r="F8" s="123" t="s">
        <v>147</v>
      </c>
      <c r="G8" s="123" t="s">
        <v>146</v>
      </c>
      <c r="H8" s="123" t="s">
        <v>145</v>
      </c>
      <c r="I8" s="123" t="s">
        <v>144</v>
      </c>
      <c r="J8" s="123" t="s">
        <v>143</v>
      </c>
      <c r="K8" s="123" t="s">
        <v>142</v>
      </c>
      <c r="L8" s="123" t="s">
        <v>152</v>
      </c>
      <c r="M8" s="123" t="s">
        <v>76</v>
      </c>
      <c r="N8" s="123" t="s">
        <v>77</v>
      </c>
      <c r="O8" s="123" t="s">
        <v>78</v>
      </c>
      <c r="P8" s="123" t="s">
        <v>81</v>
      </c>
      <c r="Q8" s="123" t="s">
        <v>94</v>
      </c>
      <c r="R8" s="123" t="s">
        <v>103</v>
      </c>
      <c r="S8" s="123" t="str">
        <f t="shared" ref="S8:X8" si="13">+S2</f>
        <v>Q3 2019</v>
      </c>
      <c r="T8" s="123" t="str">
        <f t="shared" si="13"/>
        <v>Q4 2019</v>
      </c>
      <c r="U8" s="123" t="str">
        <f t="shared" si="13"/>
        <v>FY 2019</v>
      </c>
      <c r="V8" s="123" t="str">
        <f t="shared" si="13"/>
        <v>Q1 2020</v>
      </c>
      <c r="W8" s="123" t="str">
        <f t="shared" si="13"/>
        <v>Q2 2020</v>
      </c>
      <c r="X8" s="123" t="str">
        <f t="shared" si="13"/>
        <v>Q3 2020</v>
      </c>
      <c r="Y8" s="123" t="str">
        <f t="shared" ref="Y8:Z8" si="14">+Y2</f>
        <v>Q4 2020</v>
      </c>
      <c r="Z8" s="123" t="str">
        <f t="shared" si="14"/>
        <v>FY 2020</v>
      </c>
      <c r="AA8" s="123" t="str">
        <f t="shared" ref="AA8:AB8" si="15">+AA2</f>
        <v>Q1 2021</v>
      </c>
      <c r="AB8" s="123" t="str">
        <f t="shared" si="15"/>
        <v>Q2 2021</v>
      </c>
      <c r="AC8" s="123" t="str">
        <f t="shared" ref="AC8" si="16">+AC2</f>
        <v>Q3 2021</v>
      </c>
    </row>
    <row r="9" spans="1:29" ht="13.5" customHeight="1" x14ac:dyDescent="0.25">
      <c r="A9" s="18" t="s">
        <v>88</v>
      </c>
      <c r="B9" s="19">
        <v>944.9</v>
      </c>
      <c r="C9" s="19">
        <v>949.3</v>
      </c>
      <c r="D9" s="19">
        <v>939.1</v>
      </c>
      <c r="E9" s="19">
        <v>766.4</v>
      </c>
      <c r="F9" s="19">
        <f>+E9</f>
        <v>766.4</v>
      </c>
      <c r="G9" s="19">
        <v>750.6</v>
      </c>
      <c r="H9" s="19">
        <v>735.1</v>
      </c>
      <c r="I9" s="19">
        <v>720.2</v>
      </c>
      <c r="J9" s="19">
        <v>704.4</v>
      </c>
      <c r="K9" s="19">
        <v>704.4</v>
      </c>
      <c r="L9" s="19">
        <v>688.8</v>
      </c>
      <c r="M9" s="19">
        <v>673</v>
      </c>
      <c r="N9" s="19">
        <v>656.9</v>
      </c>
      <c r="O9" s="19">
        <v>640.20000000000005</v>
      </c>
      <c r="P9" s="19">
        <v>640.20000000000005</v>
      </c>
      <c r="Q9" s="19">
        <v>633.6</v>
      </c>
      <c r="R9" s="19">
        <v>628.70000000000005</v>
      </c>
      <c r="S9" s="19">
        <v>647.29999999999995</v>
      </c>
      <c r="T9" s="19">
        <v>635.70000000000005</v>
      </c>
      <c r="U9" s="19">
        <v>635.70000000000005</v>
      </c>
      <c r="V9" s="19">
        <v>491.3</v>
      </c>
      <c r="W9" s="19">
        <v>480.9</v>
      </c>
      <c r="X9" s="19">
        <v>470.5</v>
      </c>
      <c r="Y9" s="19">
        <v>435.8</v>
      </c>
      <c r="Z9" s="19">
        <f>+Y9</f>
        <v>435.8</v>
      </c>
      <c r="AA9" s="19">
        <v>423.2</v>
      </c>
      <c r="AB9" s="19">
        <v>410.1</v>
      </c>
      <c r="AC9" s="20">
        <v>402.9</v>
      </c>
    </row>
    <row r="10" spans="1:29" ht="13.5" customHeight="1" x14ac:dyDescent="0.25">
      <c r="A10" s="21" t="s">
        <v>89</v>
      </c>
      <c r="B10" s="22">
        <v>1271.7</v>
      </c>
      <c r="C10" s="22">
        <v>1337.7</v>
      </c>
      <c r="D10" s="22">
        <v>1418.5</v>
      </c>
      <c r="E10" s="22">
        <v>1399</v>
      </c>
      <c r="F10" s="19">
        <f t="shared" ref="F10:F11" si="17">+E10</f>
        <v>1399</v>
      </c>
      <c r="G10" s="23">
        <v>1425.3</v>
      </c>
      <c r="H10" s="23">
        <v>1483</v>
      </c>
      <c r="I10" s="23">
        <v>1625.2</v>
      </c>
      <c r="J10" s="23">
        <v>1716.4</v>
      </c>
      <c r="K10" s="23">
        <v>1716.4</v>
      </c>
      <c r="L10" s="23">
        <v>1748.7</v>
      </c>
      <c r="M10" s="23">
        <v>1762.2</v>
      </c>
      <c r="N10" s="23">
        <v>2046.4</v>
      </c>
      <c r="O10" s="19">
        <v>1986.2</v>
      </c>
      <c r="P10" s="19">
        <v>1986.2</v>
      </c>
      <c r="Q10" s="19">
        <v>1955.1</v>
      </c>
      <c r="R10" s="19">
        <v>1913.8</v>
      </c>
      <c r="S10" s="19">
        <v>1899</v>
      </c>
      <c r="T10" s="19">
        <v>1884</v>
      </c>
      <c r="U10" s="19">
        <v>1884</v>
      </c>
      <c r="V10" s="19">
        <v>1475.6</v>
      </c>
      <c r="W10" s="19">
        <v>1439.6</v>
      </c>
      <c r="X10" s="19">
        <v>1400.4</v>
      </c>
      <c r="Y10" s="19">
        <v>1332.3</v>
      </c>
      <c r="Z10" s="19">
        <f t="shared" ref="Z10:Z11" si="18">+Y10</f>
        <v>1332.3</v>
      </c>
      <c r="AA10" s="19">
        <v>1378.1</v>
      </c>
      <c r="AB10" s="19">
        <f>1357.1-1.6</f>
        <v>1355.5</v>
      </c>
      <c r="AC10" s="20">
        <v>1319.2</v>
      </c>
    </row>
    <row r="11" spans="1:29" ht="13.5" customHeight="1" x14ac:dyDescent="0.25">
      <c r="A11" s="21" t="s">
        <v>90</v>
      </c>
      <c r="B11" s="19">
        <v>522.5</v>
      </c>
      <c r="C11" s="19">
        <v>510.6</v>
      </c>
      <c r="D11" s="19">
        <v>499.6</v>
      </c>
      <c r="E11" s="19">
        <v>488</v>
      </c>
      <c r="F11" s="19">
        <f t="shared" si="17"/>
        <v>488</v>
      </c>
      <c r="G11" s="19">
        <v>475.6</v>
      </c>
      <c r="H11" s="19">
        <v>466.3</v>
      </c>
      <c r="I11" s="19">
        <v>459.7</v>
      </c>
      <c r="J11" s="19">
        <v>467.7</v>
      </c>
      <c r="K11" s="19">
        <v>467.7</v>
      </c>
      <c r="L11" s="19">
        <v>467.2</v>
      </c>
      <c r="M11" s="19">
        <v>477.4</v>
      </c>
      <c r="N11" s="19">
        <v>245.7</v>
      </c>
      <c r="O11" s="19">
        <v>222.6</v>
      </c>
      <c r="P11" s="19">
        <v>222.6</v>
      </c>
      <c r="Q11" s="19">
        <v>227.6</v>
      </c>
      <c r="R11" s="19">
        <v>219.3</v>
      </c>
      <c r="S11" s="19">
        <v>211</v>
      </c>
      <c r="T11" s="19">
        <v>212.5</v>
      </c>
      <c r="U11" s="19">
        <v>212.5</v>
      </c>
      <c r="V11" s="19">
        <v>166</v>
      </c>
      <c r="W11" s="19">
        <v>157.80000000000001</v>
      </c>
      <c r="X11" s="19">
        <v>153.9</v>
      </c>
      <c r="Y11" s="19">
        <v>150.9</v>
      </c>
      <c r="Z11" s="19">
        <f t="shared" si="18"/>
        <v>150.9</v>
      </c>
      <c r="AA11" s="19">
        <v>151.69999999999999</v>
      </c>
      <c r="AB11" s="19">
        <v>189.1</v>
      </c>
      <c r="AC11" s="20">
        <v>233.9</v>
      </c>
    </row>
    <row r="12" spans="1:29" ht="13.5" customHeight="1" x14ac:dyDescent="0.25">
      <c r="A12" s="24" t="s">
        <v>91</v>
      </c>
      <c r="B12" s="25">
        <f t="shared" ref="B12:N12" si="19">SUM(B9:B11)</f>
        <v>2739.1</v>
      </c>
      <c r="C12" s="25">
        <f t="shared" ref="C12:E12" si="20">SUM(C9:C11)</f>
        <v>2797.6</v>
      </c>
      <c r="D12" s="25">
        <f t="shared" si="20"/>
        <v>2857.2</v>
      </c>
      <c r="E12" s="25">
        <f t="shared" si="20"/>
        <v>2653.4</v>
      </c>
      <c r="F12" s="25">
        <f t="shared" si="19"/>
        <v>2653.4</v>
      </c>
      <c r="G12" s="25">
        <f t="shared" si="19"/>
        <v>2651.5</v>
      </c>
      <c r="H12" s="25">
        <f t="shared" si="19"/>
        <v>2684.4</v>
      </c>
      <c r="I12" s="25">
        <f t="shared" si="19"/>
        <v>2805.1</v>
      </c>
      <c r="J12" s="25">
        <f t="shared" si="19"/>
        <v>2888.5</v>
      </c>
      <c r="K12" s="25">
        <f t="shared" si="19"/>
        <v>2888.5</v>
      </c>
      <c r="L12" s="25">
        <f t="shared" si="19"/>
        <v>2904.7</v>
      </c>
      <c r="M12" s="25">
        <f t="shared" si="19"/>
        <v>2912.6</v>
      </c>
      <c r="N12" s="25">
        <f t="shared" si="19"/>
        <v>2949</v>
      </c>
      <c r="O12" s="25">
        <f t="shared" ref="O12:P12" si="21">SUM(O9:O11)</f>
        <v>2849</v>
      </c>
      <c r="P12" s="25">
        <f t="shared" si="21"/>
        <v>2849</v>
      </c>
      <c r="Q12" s="25">
        <f t="shared" ref="Q12:R12" si="22">SUM(Q9:Q11)</f>
        <v>2816.2999999999997</v>
      </c>
      <c r="R12" s="25">
        <f t="shared" si="22"/>
        <v>2761.8</v>
      </c>
      <c r="S12" s="25">
        <f t="shared" ref="S12:T12" si="23">SUM(S9:S11)</f>
        <v>2757.3</v>
      </c>
      <c r="T12" s="25">
        <f t="shared" si="23"/>
        <v>2732.2</v>
      </c>
      <c r="U12" s="25">
        <f t="shared" ref="U12:V12" si="24">SUM(U9:U11)</f>
        <v>2732.2</v>
      </c>
      <c r="V12" s="25">
        <f t="shared" si="24"/>
        <v>2132.8999999999996</v>
      </c>
      <c r="W12" s="25">
        <f t="shared" ref="W12:X12" si="25">SUM(W9:W11)</f>
        <v>2078.3000000000002</v>
      </c>
      <c r="X12" s="25">
        <f t="shared" si="25"/>
        <v>2024.8000000000002</v>
      </c>
      <c r="Y12" s="25">
        <f t="shared" ref="Y12:Z12" si="26">SUM(Y9:Y11)</f>
        <v>1919</v>
      </c>
      <c r="Z12" s="25">
        <f t="shared" si="26"/>
        <v>1919</v>
      </c>
      <c r="AA12" s="25">
        <f t="shared" ref="AA12:AB12" si="27">SUM(AA9:AA11)</f>
        <v>1953</v>
      </c>
      <c r="AB12" s="25">
        <f t="shared" si="27"/>
        <v>1954.6999999999998</v>
      </c>
      <c r="AC12" s="26">
        <f t="shared" ref="AC12" si="28">SUM(AC9:AC11)</f>
        <v>1956</v>
      </c>
    </row>
    <row r="14" spans="1:29" ht="13.5" customHeight="1" x14ac:dyDescent="0.25">
      <c r="A14" s="64" t="s">
        <v>92</v>
      </c>
    </row>
    <row r="20" spans="5:5" ht="13.5" customHeight="1" x14ac:dyDescent="0.25">
      <c r="E20" s="110"/>
    </row>
    <row r="21" spans="5:5" ht="13.5" customHeight="1" x14ac:dyDescent="0.25">
      <c r="E21" s="110"/>
    </row>
    <row r="22" spans="5:5" ht="13.5" customHeight="1" x14ac:dyDescent="0.25">
      <c r="E22" s="110"/>
    </row>
    <row r="23" spans="5:5" ht="13.5" customHeight="1" x14ac:dyDescent="0.25">
      <c r="E23" s="110"/>
    </row>
    <row r="24" spans="5:5" ht="13.5" customHeight="1" x14ac:dyDescent="0.25">
      <c r="E24" s="110"/>
    </row>
    <row r="25" spans="5:5" ht="13.5" customHeight="1" x14ac:dyDescent="0.25">
      <c r="E25" s="110"/>
    </row>
    <row r="26" spans="5:5" ht="13.5" customHeight="1" x14ac:dyDescent="0.25">
      <c r="E26" s="110"/>
    </row>
    <row r="27" spans="5:5" ht="13.5" customHeight="1" x14ac:dyDescent="0.25">
      <c r="E27" s="110"/>
    </row>
    <row r="28" spans="5:5" ht="13.5" customHeight="1" x14ac:dyDescent="0.25">
      <c r="E28" s="110"/>
    </row>
    <row r="29" spans="5:5" ht="13.5" customHeight="1" x14ac:dyDescent="0.25">
      <c r="E29" s="110"/>
    </row>
    <row r="30" spans="5:5" ht="13.5" customHeight="1" x14ac:dyDescent="0.25">
      <c r="E30" s="110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AA52"/>
  <sheetViews>
    <sheetView showGridLines="0" topLeftCell="A16" zoomScaleNormal="100" workbookViewId="0">
      <selection activeCell="AC57" sqref="AC57"/>
    </sheetView>
  </sheetViews>
  <sheetFormatPr defaultColWidth="9.140625" defaultRowHeight="15" x14ac:dyDescent="0.25"/>
  <cols>
    <col min="1" max="1" width="50.85546875" style="7" bestFit="1" customWidth="1"/>
    <col min="2" max="18" width="10.85546875" style="7" hidden="1" customWidth="1"/>
    <col min="19" max="25" width="10.85546875" style="7" customWidth="1"/>
    <col min="26" max="16384" width="9.140625" style="7"/>
  </cols>
  <sheetData>
    <row r="2" spans="1:26" ht="13.5" customHeight="1" x14ac:dyDescent="0.25">
      <c r="A2" s="122"/>
      <c r="B2" s="123" t="s">
        <v>151</v>
      </c>
      <c r="C2" s="123" t="s">
        <v>150</v>
      </c>
      <c r="D2" s="123" t="s">
        <v>149</v>
      </c>
      <c r="E2" s="123" t="s">
        <v>148</v>
      </c>
      <c r="F2" s="123" t="s">
        <v>147</v>
      </c>
      <c r="G2" s="123" t="s">
        <v>146</v>
      </c>
      <c r="H2" s="123" t="s">
        <v>145</v>
      </c>
      <c r="I2" s="123" t="s">
        <v>144</v>
      </c>
      <c r="J2" s="123" t="s">
        <v>143</v>
      </c>
      <c r="K2" s="123" t="s">
        <v>142</v>
      </c>
      <c r="L2" s="123" t="s">
        <v>152</v>
      </c>
      <c r="M2" s="123" t="s">
        <v>76</v>
      </c>
      <c r="N2" s="123" t="s">
        <v>77</v>
      </c>
      <c r="O2" s="123" t="s">
        <v>78</v>
      </c>
      <c r="P2" s="123" t="s">
        <v>81</v>
      </c>
      <c r="Q2" s="123" t="s">
        <v>94</v>
      </c>
      <c r="R2" s="123" t="s">
        <v>103</v>
      </c>
      <c r="S2" s="123" t="s">
        <v>105</v>
      </c>
      <c r="T2" s="123" t="s">
        <v>107</v>
      </c>
      <c r="U2" s="123" t="s">
        <v>108</v>
      </c>
      <c r="V2" s="123" t="s">
        <v>159</v>
      </c>
      <c r="W2" s="123" t="s">
        <v>164</v>
      </c>
      <c r="X2" s="123" t="s">
        <v>167</v>
      </c>
      <c r="Y2" s="123" t="s">
        <v>173</v>
      </c>
    </row>
    <row r="3" spans="1:26" ht="13.5" customHeight="1" x14ac:dyDescent="0.25">
      <c r="A3" s="18" t="s">
        <v>63</v>
      </c>
      <c r="B3" s="19">
        <v>214.4</v>
      </c>
      <c r="C3" s="19">
        <v>172.5</v>
      </c>
      <c r="D3" s="19">
        <v>159.6</v>
      </c>
      <c r="E3" s="19">
        <v>298.2</v>
      </c>
      <c r="F3" s="19">
        <v>844.7</v>
      </c>
      <c r="G3" s="19">
        <v>159.6</v>
      </c>
      <c r="H3" s="19">
        <v>164.4</v>
      </c>
      <c r="I3" s="19">
        <v>153.6</v>
      </c>
      <c r="J3" s="19">
        <v>151.4</v>
      </c>
      <c r="K3" s="19">
        <v>629</v>
      </c>
      <c r="L3" s="19">
        <v>194.2</v>
      </c>
      <c r="M3" s="19">
        <v>202.7</v>
      </c>
      <c r="N3" s="19">
        <v>218.7</v>
      </c>
      <c r="O3" s="19">
        <v>245.9</v>
      </c>
      <c r="P3" s="19">
        <f>SUM(L3:O3)</f>
        <v>861.49999999999989</v>
      </c>
      <c r="Q3" s="19">
        <v>230.5</v>
      </c>
      <c r="R3" s="19">
        <v>251.2</v>
      </c>
      <c r="S3" s="19">
        <v>237.7</v>
      </c>
      <c r="T3" s="19">
        <v>228</v>
      </c>
      <c r="U3" s="19">
        <f>SUM(Q3:T3)</f>
        <v>947.4</v>
      </c>
      <c r="V3" s="19">
        <v>886.3</v>
      </c>
      <c r="W3" s="19">
        <v>219</v>
      </c>
      <c r="X3" s="19">
        <v>206.4</v>
      </c>
      <c r="Y3" s="20">
        <v>198.1</v>
      </c>
      <c r="Z3" s="101"/>
    </row>
    <row r="4" spans="1:26" ht="13.5" customHeight="1" x14ac:dyDescent="0.25">
      <c r="A4" s="21" t="s">
        <v>80</v>
      </c>
      <c r="B4" s="54">
        <v>0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23">
        <v>8.6999999999999993</v>
      </c>
      <c r="O4" s="23">
        <v>30.5</v>
      </c>
      <c r="P4" s="19">
        <f t="shared" ref="P4:P6" si="0">SUM(L4:O4)</f>
        <v>39.200000000000003</v>
      </c>
      <c r="Q4" s="19">
        <v>84</v>
      </c>
      <c r="R4" s="19">
        <v>56.2</v>
      </c>
      <c r="S4" s="19">
        <v>49.5</v>
      </c>
      <c r="T4" s="19">
        <v>92.7</v>
      </c>
      <c r="U4" s="19">
        <f t="shared" ref="U4:U6" si="1">SUM(Q4:T4)</f>
        <v>282.39999999999998</v>
      </c>
      <c r="V4" s="19">
        <v>5.0999999999999996</v>
      </c>
      <c r="W4" s="54">
        <v>0</v>
      </c>
      <c r="X4" s="54">
        <v>0</v>
      </c>
      <c r="Y4" s="97">
        <v>0</v>
      </c>
      <c r="Z4" s="101"/>
    </row>
    <row r="5" spans="1:26" ht="13.5" customHeight="1" x14ac:dyDescent="0.25">
      <c r="A5" s="21" t="s">
        <v>172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1.4</v>
      </c>
      <c r="Y5" s="97">
        <v>1.5</v>
      </c>
      <c r="Z5" s="101"/>
    </row>
    <row r="6" spans="1:26" ht="13.5" customHeight="1" x14ac:dyDescent="0.25">
      <c r="A6" s="21" t="s">
        <v>64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22">
        <v>-1</v>
      </c>
      <c r="I6" s="22">
        <v>-0.9</v>
      </c>
      <c r="J6" s="22">
        <v>-1.1000000000000001</v>
      </c>
      <c r="K6" s="22">
        <v>-3</v>
      </c>
      <c r="L6" s="22">
        <v>-1.7</v>
      </c>
      <c r="M6" s="22">
        <v>-2.5</v>
      </c>
      <c r="N6" s="22">
        <v>-5.0999999999999996</v>
      </c>
      <c r="O6" s="22">
        <v>-21</v>
      </c>
      <c r="P6" s="19">
        <f t="shared" si="0"/>
        <v>-30.3</v>
      </c>
      <c r="Q6" s="19">
        <v>-18.100000000000001</v>
      </c>
      <c r="R6" s="19">
        <v>-21.4</v>
      </c>
      <c r="S6" s="19">
        <v>-20</v>
      </c>
      <c r="T6" s="19">
        <v>-17.3</v>
      </c>
      <c r="U6" s="19">
        <f t="shared" si="1"/>
        <v>-76.8</v>
      </c>
      <c r="V6" s="19">
        <v>-14.2</v>
      </c>
      <c r="W6" s="19">
        <v>-0.1</v>
      </c>
      <c r="X6" s="54">
        <v>0</v>
      </c>
      <c r="Y6" s="97">
        <v>0</v>
      </c>
      <c r="Z6" s="101"/>
    </row>
    <row r="7" spans="1:26" ht="13.5" customHeight="1" x14ac:dyDescent="0.25">
      <c r="A7" s="24" t="s">
        <v>106</v>
      </c>
      <c r="B7" s="25">
        <f t="shared" ref="B7:P7" si="2">SUM(B3:B6)</f>
        <v>214.4</v>
      </c>
      <c r="C7" s="25">
        <f t="shared" ref="C7:E7" si="3">SUM(C3:C6)</f>
        <v>172.5</v>
      </c>
      <c r="D7" s="25">
        <f t="shared" si="3"/>
        <v>159.6</v>
      </c>
      <c r="E7" s="25">
        <f t="shared" si="3"/>
        <v>298.2</v>
      </c>
      <c r="F7" s="25">
        <f t="shared" ref="F7:M7" si="4">SUM(F3:F6)</f>
        <v>844.7</v>
      </c>
      <c r="G7" s="25">
        <f t="shared" ref="G7:I7" si="5">SUM(G3:G6)</f>
        <v>159.6</v>
      </c>
      <c r="H7" s="25">
        <f t="shared" si="5"/>
        <v>163.4</v>
      </c>
      <c r="I7" s="25">
        <f t="shared" si="5"/>
        <v>152.69999999999999</v>
      </c>
      <c r="J7" s="25">
        <f t="shared" ref="J7:L7" si="6">SUM(J3:J6)</f>
        <v>150.30000000000001</v>
      </c>
      <c r="K7" s="25">
        <f t="shared" si="6"/>
        <v>626</v>
      </c>
      <c r="L7" s="25">
        <f t="shared" si="6"/>
        <v>192.5</v>
      </c>
      <c r="M7" s="25">
        <f t="shared" si="4"/>
        <v>200.2</v>
      </c>
      <c r="N7" s="25">
        <f t="shared" si="2"/>
        <v>222.29999999999998</v>
      </c>
      <c r="O7" s="25">
        <f t="shared" si="2"/>
        <v>255.39999999999998</v>
      </c>
      <c r="P7" s="25">
        <f t="shared" si="2"/>
        <v>870.4</v>
      </c>
      <c r="Q7" s="25">
        <f t="shared" ref="Q7:R7" si="7">SUM(Q3:Q6)</f>
        <v>296.39999999999998</v>
      </c>
      <c r="R7" s="25">
        <f t="shared" si="7"/>
        <v>286</v>
      </c>
      <c r="S7" s="25">
        <f t="shared" ref="S7:T7" si="8">SUM(S3:S6)</f>
        <v>267.2</v>
      </c>
      <c r="T7" s="25">
        <f t="shared" si="8"/>
        <v>303.39999999999998</v>
      </c>
      <c r="U7" s="25">
        <f t="shared" ref="U7:V7" si="9">SUM(U3:U6)</f>
        <v>1153</v>
      </c>
      <c r="V7" s="25">
        <f t="shared" si="9"/>
        <v>877.19999999999993</v>
      </c>
      <c r="W7" s="25">
        <f t="shared" ref="W7:X7" si="10">SUM(W3:W6)</f>
        <v>218.9</v>
      </c>
      <c r="X7" s="25">
        <f t="shared" si="10"/>
        <v>207.8</v>
      </c>
      <c r="Y7" s="26">
        <f t="shared" ref="Y7" si="11">SUM(Y3:Y6)</f>
        <v>199.6</v>
      </c>
      <c r="Z7" s="101"/>
    </row>
    <row r="8" spans="1:26" ht="13.5" customHeight="1" x14ac:dyDescent="0.25">
      <c r="Z8" s="101"/>
    </row>
    <row r="9" spans="1:26" ht="13.5" customHeight="1" x14ac:dyDescent="0.25">
      <c r="A9" s="122"/>
      <c r="B9" s="123" t="s">
        <v>151</v>
      </c>
      <c r="C9" s="123" t="s">
        <v>150</v>
      </c>
      <c r="D9" s="123" t="s">
        <v>149</v>
      </c>
      <c r="E9" s="123" t="s">
        <v>148</v>
      </c>
      <c r="F9" s="123" t="s">
        <v>147</v>
      </c>
      <c r="G9" s="123" t="s">
        <v>146</v>
      </c>
      <c r="H9" s="123" t="s">
        <v>145</v>
      </c>
      <c r="I9" s="123" t="s">
        <v>144</v>
      </c>
      <c r="J9" s="123" t="s">
        <v>143</v>
      </c>
      <c r="K9" s="123" t="s">
        <v>142</v>
      </c>
      <c r="L9" s="123" t="s">
        <v>152</v>
      </c>
      <c r="M9" s="123" t="s">
        <v>76</v>
      </c>
      <c r="N9" s="123" t="s">
        <v>77</v>
      </c>
      <c r="O9" s="123" t="s">
        <v>78</v>
      </c>
      <c r="P9" s="123" t="s">
        <v>81</v>
      </c>
      <c r="Q9" s="123" t="s">
        <v>94</v>
      </c>
      <c r="R9" s="123" t="s">
        <v>103</v>
      </c>
      <c r="S9" s="123" t="s">
        <v>105</v>
      </c>
      <c r="T9" s="123" t="s">
        <v>107</v>
      </c>
      <c r="U9" s="123" t="s">
        <v>108</v>
      </c>
      <c r="V9" s="123" t="s">
        <v>159</v>
      </c>
      <c r="W9" s="123" t="s">
        <v>164</v>
      </c>
      <c r="X9" s="123" t="str">
        <f>+X2</f>
        <v>Q2 2021</v>
      </c>
      <c r="Y9" s="123" t="str">
        <f>+Y2</f>
        <v>Q3 2021</v>
      </c>
      <c r="Z9" s="101"/>
    </row>
    <row r="10" spans="1:26" ht="13.5" customHeight="1" x14ac:dyDescent="0.25">
      <c r="A10" s="18" t="s">
        <v>63</v>
      </c>
      <c r="B10" s="19">
        <v>97.4</v>
      </c>
      <c r="C10" s="19">
        <v>84.6</v>
      </c>
      <c r="D10" s="19">
        <v>76.900000000000006</v>
      </c>
      <c r="E10" s="19">
        <v>164.5</v>
      </c>
      <c r="F10" s="19">
        <v>423.4</v>
      </c>
      <c r="G10" s="19">
        <v>62</v>
      </c>
      <c r="H10" s="19">
        <v>120.1</v>
      </c>
      <c r="I10" s="19">
        <v>83</v>
      </c>
      <c r="J10" s="19">
        <v>74.7</v>
      </c>
      <c r="K10" s="19">
        <v>339.8</v>
      </c>
      <c r="L10" s="19">
        <v>108.8</v>
      </c>
      <c r="M10" s="19">
        <v>105.1</v>
      </c>
      <c r="N10" s="19">
        <f>119.7-0.1</f>
        <v>119.60000000000001</v>
      </c>
      <c r="O10" s="19">
        <f>134.3-0.5</f>
        <v>133.80000000000001</v>
      </c>
      <c r="P10" s="19">
        <f t="shared" ref="P10:P13" si="12">SUM(L10:O10)</f>
        <v>467.3</v>
      </c>
      <c r="Q10" s="19">
        <f>137-0.5</f>
        <v>136.5</v>
      </c>
      <c r="R10" s="19">
        <f>155.8-0.4</f>
        <v>155.4</v>
      </c>
      <c r="S10" s="19">
        <f>133-0.1</f>
        <v>132.9</v>
      </c>
      <c r="T10" s="19">
        <f>117.8+0.3</f>
        <v>118.1</v>
      </c>
      <c r="U10" s="19">
        <f>SUM(Q10:T10)</f>
        <v>542.9</v>
      </c>
      <c r="V10" s="19">
        <v>436.1</v>
      </c>
      <c r="W10" s="19">
        <v>113.5</v>
      </c>
      <c r="X10" s="19">
        <v>93.6</v>
      </c>
      <c r="Y10" s="20">
        <v>99.1</v>
      </c>
      <c r="Z10" s="101"/>
    </row>
    <row r="11" spans="1:26" ht="13.5" customHeight="1" x14ac:dyDescent="0.25">
      <c r="A11" s="21" t="s">
        <v>80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19">
        <v>-1.5</v>
      </c>
      <c r="I11" s="19">
        <v>-0.9</v>
      </c>
      <c r="J11" s="19">
        <v>-1.2</v>
      </c>
      <c r="K11" s="19">
        <v>-3.6</v>
      </c>
      <c r="L11" s="19">
        <v>-0.3</v>
      </c>
      <c r="M11" s="19">
        <v>0.3</v>
      </c>
      <c r="N11" s="23">
        <v>6.7</v>
      </c>
      <c r="O11" s="23">
        <v>14.6</v>
      </c>
      <c r="P11" s="19">
        <f t="shared" si="12"/>
        <v>21.3</v>
      </c>
      <c r="Q11" s="19">
        <v>54.6</v>
      </c>
      <c r="R11" s="19">
        <v>42.7</v>
      </c>
      <c r="S11" s="19">
        <v>35</v>
      </c>
      <c r="T11" s="19">
        <v>57.5</v>
      </c>
      <c r="U11" s="19">
        <f t="shared" ref="U11:U13" si="13">SUM(Q11:T11)</f>
        <v>189.8</v>
      </c>
      <c r="V11" s="19">
        <v>3.9</v>
      </c>
      <c r="W11" s="54">
        <v>0</v>
      </c>
      <c r="X11" s="54">
        <v>0</v>
      </c>
      <c r="Y11" s="97">
        <v>0</v>
      </c>
      <c r="Z11" s="101"/>
    </row>
    <row r="12" spans="1:26" ht="13.5" customHeight="1" x14ac:dyDescent="0.25">
      <c r="A12" s="21" t="s">
        <v>172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19">
        <v>-2.7</v>
      </c>
      <c r="X12" s="19">
        <v>-2.5</v>
      </c>
      <c r="Y12" s="20">
        <v>-2</v>
      </c>
      <c r="Z12" s="101"/>
    </row>
    <row r="13" spans="1:26" ht="13.5" customHeight="1" x14ac:dyDescent="0.25">
      <c r="A13" s="21" t="s">
        <v>64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19">
        <f t="shared" si="12"/>
        <v>0</v>
      </c>
      <c r="Q13" s="19">
        <v>-4.8</v>
      </c>
      <c r="R13" s="19">
        <v>-6.9</v>
      </c>
      <c r="S13" s="19">
        <v>-5.9</v>
      </c>
      <c r="T13" s="19">
        <v>-5.9</v>
      </c>
      <c r="U13" s="19">
        <f t="shared" si="13"/>
        <v>-23.5</v>
      </c>
      <c r="V13" s="19">
        <v>-3.9</v>
      </c>
      <c r="W13" s="54">
        <v>0</v>
      </c>
      <c r="X13" s="54">
        <v>0</v>
      </c>
      <c r="Y13" s="97">
        <v>0</v>
      </c>
      <c r="Z13" s="101"/>
    </row>
    <row r="14" spans="1:26" ht="13.5" customHeight="1" x14ac:dyDescent="0.25">
      <c r="A14" s="24" t="s">
        <v>9</v>
      </c>
      <c r="B14" s="25">
        <f t="shared" ref="B14:Q14" si="14">SUM(B10:B13)</f>
        <v>97.4</v>
      </c>
      <c r="C14" s="25">
        <f t="shared" ref="C14:E14" si="15">SUM(C10:C13)</f>
        <v>84.6</v>
      </c>
      <c r="D14" s="25">
        <f t="shared" si="15"/>
        <v>76.900000000000006</v>
      </c>
      <c r="E14" s="25">
        <f t="shared" si="15"/>
        <v>164.5</v>
      </c>
      <c r="F14" s="25">
        <f t="shared" ref="F14:M14" si="16">SUM(F10:F13)</f>
        <v>423.4</v>
      </c>
      <c r="G14" s="25">
        <f t="shared" ref="G14:I14" si="17">SUM(G10:G13)</f>
        <v>62</v>
      </c>
      <c r="H14" s="25">
        <f t="shared" si="17"/>
        <v>118.6</v>
      </c>
      <c r="I14" s="25">
        <f t="shared" si="17"/>
        <v>82.1</v>
      </c>
      <c r="J14" s="25">
        <f t="shared" ref="J14:L14" si="18">SUM(J10:J13)</f>
        <v>73.5</v>
      </c>
      <c r="K14" s="25">
        <f t="shared" si="18"/>
        <v>336.2</v>
      </c>
      <c r="L14" s="25">
        <f t="shared" si="18"/>
        <v>108.5</v>
      </c>
      <c r="M14" s="25">
        <f t="shared" si="16"/>
        <v>105.39999999999999</v>
      </c>
      <c r="N14" s="25">
        <f t="shared" si="14"/>
        <v>126.30000000000001</v>
      </c>
      <c r="O14" s="25">
        <f t="shared" si="14"/>
        <v>148.4</v>
      </c>
      <c r="P14" s="25">
        <f t="shared" si="14"/>
        <v>488.6</v>
      </c>
      <c r="Q14" s="25">
        <f t="shared" si="14"/>
        <v>186.29999999999998</v>
      </c>
      <c r="R14" s="25">
        <f t="shared" ref="R14:S14" si="19">SUM(R10:R13)</f>
        <v>191.20000000000002</v>
      </c>
      <c r="S14" s="25">
        <f t="shared" si="19"/>
        <v>162</v>
      </c>
      <c r="T14" s="25">
        <f t="shared" ref="T14:U14" si="20">SUM(T10:T13)</f>
        <v>169.7</v>
      </c>
      <c r="U14" s="25">
        <f t="shared" si="20"/>
        <v>709.2</v>
      </c>
      <c r="V14" s="25">
        <f t="shared" ref="V14:W14" si="21">SUM(V10:V13)</f>
        <v>436.1</v>
      </c>
      <c r="W14" s="25">
        <f t="shared" si="21"/>
        <v>110.8</v>
      </c>
      <c r="X14" s="25">
        <f t="shared" ref="X14:Y14" si="22">SUM(X10:X13)</f>
        <v>91.1</v>
      </c>
      <c r="Y14" s="26">
        <f t="shared" si="22"/>
        <v>97.1</v>
      </c>
      <c r="Z14" s="101"/>
    </row>
    <row r="15" spans="1:26" ht="13.5" customHeight="1" x14ac:dyDescent="0.25">
      <c r="Z15" s="101"/>
    </row>
    <row r="16" spans="1:26" ht="13.5" customHeight="1" x14ac:dyDescent="0.25">
      <c r="A16" s="122"/>
      <c r="B16" s="123" t="s">
        <v>151</v>
      </c>
      <c r="C16" s="123" t="s">
        <v>150</v>
      </c>
      <c r="D16" s="123" t="s">
        <v>149</v>
      </c>
      <c r="E16" s="123" t="s">
        <v>148</v>
      </c>
      <c r="F16" s="123" t="s">
        <v>147</v>
      </c>
      <c r="G16" s="123" t="s">
        <v>146</v>
      </c>
      <c r="H16" s="123" t="s">
        <v>145</v>
      </c>
      <c r="I16" s="123" t="s">
        <v>144</v>
      </c>
      <c r="J16" s="123" t="s">
        <v>143</v>
      </c>
      <c r="K16" s="123" t="s">
        <v>142</v>
      </c>
      <c r="L16" s="123" t="s">
        <v>152</v>
      </c>
      <c r="M16" s="123" t="s">
        <v>76</v>
      </c>
      <c r="N16" s="123" t="s">
        <v>77</v>
      </c>
      <c r="O16" s="123" t="s">
        <v>78</v>
      </c>
      <c r="P16" s="123" t="s">
        <v>81</v>
      </c>
      <c r="Q16" s="123" t="s">
        <v>94</v>
      </c>
      <c r="R16" s="123" t="s">
        <v>103</v>
      </c>
      <c r="S16" s="123" t="s">
        <v>105</v>
      </c>
      <c r="T16" s="123" t="s">
        <v>107</v>
      </c>
      <c r="U16" s="123" t="s">
        <v>108</v>
      </c>
      <c r="V16" s="123" t="s">
        <v>159</v>
      </c>
      <c r="W16" s="123" t="s">
        <v>164</v>
      </c>
      <c r="X16" s="123" t="str">
        <f>+X2</f>
        <v>Q2 2021</v>
      </c>
      <c r="Y16" s="123" t="str">
        <f>+Y2</f>
        <v>Q3 2021</v>
      </c>
      <c r="Z16" s="101"/>
    </row>
    <row r="17" spans="1:26" ht="13.5" customHeight="1" x14ac:dyDescent="0.25">
      <c r="A17" s="18" t="s">
        <v>63</v>
      </c>
      <c r="B17" s="19">
        <v>-61.2</v>
      </c>
      <c r="C17" s="19">
        <v>-59.7</v>
      </c>
      <c r="D17" s="19">
        <v>-57.7</v>
      </c>
      <c r="E17" s="19">
        <v>-279.8</v>
      </c>
      <c r="F17" s="19">
        <v>-458.4</v>
      </c>
      <c r="G17" s="19">
        <v>-57.3</v>
      </c>
      <c r="H17" s="19">
        <v>-85.2</v>
      </c>
      <c r="I17" s="19">
        <v>-55.2</v>
      </c>
      <c r="J17" s="19">
        <v>-58.3</v>
      </c>
      <c r="K17" s="19">
        <v>-256</v>
      </c>
      <c r="L17" s="19">
        <v>-77</v>
      </c>
      <c r="M17" s="19">
        <v>-83.3</v>
      </c>
      <c r="N17" s="19">
        <v>-84.3</v>
      </c>
      <c r="O17" s="19">
        <f>-84.2+7</f>
        <v>-77.2</v>
      </c>
      <c r="P17" s="19">
        <f t="shared" ref="P17:P20" si="23">SUM(L17:O17)</f>
        <v>-321.8</v>
      </c>
      <c r="Q17" s="19">
        <f>-86.3-0.2</f>
        <v>-86.5</v>
      </c>
      <c r="R17" s="19">
        <v>-87.3</v>
      </c>
      <c r="S17" s="19">
        <v>-86.9</v>
      </c>
      <c r="T17" s="19">
        <v>-95.7</v>
      </c>
      <c r="U17" s="19">
        <f>SUM(Q17:T17)</f>
        <v>-356.40000000000003</v>
      </c>
      <c r="V17" s="19">
        <v>-576.70000000000005</v>
      </c>
      <c r="W17" s="19">
        <v>-69.099999999999994</v>
      </c>
      <c r="X17" s="19">
        <v>-64.599999999999994</v>
      </c>
      <c r="Y17" s="20">
        <v>-65.7</v>
      </c>
      <c r="Z17" s="101"/>
    </row>
    <row r="18" spans="1:26" ht="13.5" customHeight="1" x14ac:dyDescent="0.25">
      <c r="A18" s="21" t="s">
        <v>80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23">
        <v>-1.8</v>
      </c>
      <c r="O18" s="23">
        <v>-6.1</v>
      </c>
      <c r="P18" s="19">
        <f t="shared" si="23"/>
        <v>-7.8999999999999995</v>
      </c>
      <c r="Q18" s="19">
        <f>-19.2+0.3</f>
        <v>-18.899999999999999</v>
      </c>
      <c r="R18" s="19">
        <v>-20.3</v>
      </c>
      <c r="S18" s="19">
        <v>-13.8</v>
      </c>
      <c r="T18" s="19">
        <v>-21.3</v>
      </c>
      <c r="U18" s="19">
        <f t="shared" ref="U18:U20" si="24">SUM(Q18:T18)</f>
        <v>-74.3</v>
      </c>
      <c r="V18" s="19">
        <v>-4.7</v>
      </c>
      <c r="W18" s="54">
        <v>0</v>
      </c>
      <c r="X18" s="54">
        <v>0</v>
      </c>
      <c r="Y18" s="97">
        <v>0</v>
      </c>
      <c r="Z18" s="101"/>
    </row>
    <row r="19" spans="1:26" ht="13.5" customHeight="1" x14ac:dyDescent="0.25">
      <c r="A19" s="21" t="s">
        <v>172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19">
        <v>-0.3</v>
      </c>
      <c r="X19" s="19">
        <v>-3.3</v>
      </c>
      <c r="Y19" s="20">
        <v>-3.1</v>
      </c>
      <c r="Z19" s="101"/>
    </row>
    <row r="20" spans="1:26" ht="13.5" customHeight="1" x14ac:dyDescent="0.25">
      <c r="A20" s="21" t="s">
        <v>64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23">
        <v>-0.6</v>
      </c>
      <c r="O20" s="23">
        <v>-1.4</v>
      </c>
      <c r="P20" s="19">
        <f t="shared" si="23"/>
        <v>-2</v>
      </c>
      <c r="Q20" s="19">
        <v>1.4</v>
      </c>
      <c r="R20" s="19">
        <v>6.5</v>
      </c>
      <c r="S20" s="19">
        <v>4.3</v>
      </c>
      <c r="T20" s="19">
        <v>6.2</v>
      </c>
      <c r="U20" s="19">
        <f t="shared" si="24"/>
        <v>18.399999999999999</v>
      </c>
      <c r="V20" s="19">
        <v>0.5</v>
      </c>
      <c r="W20" s="54">
        <v>0</v>
      </c>
      <c r="X20" s="54">
        <v>0</v>
      </c>
      <c r="Y20" s="97">
        <v>0</v>
      </c>
      <c r="Z20" s="101"/>
    </row>
    <row r="21" spans="1:26" ht="13.5" customHeight="1" x14ac:dyDescent="0.25">
      <c r="A21" s="24" t="s">
        <v>93</v>
      </c>
      <c r="B21" s="25">
        <f t="shared" ref="B21:P21" si="25">SUM(B17:B20)</f>
        <v>-61.2</v>
      </c>
      <c r="C21" s="25">
        <f t="shared" ref="C21:E21" si="26">SUM(C17:C20)</f>
        <v>-59.7</v>
      </c>
      <c r="D21" s="25">
        <f t="shared" si="26"/>
        <v>-57.7</v>
      </c>
      <c r="E21" s="25">
        <f t="shared" si="26"/>
        <v>-279.8</v>
      </c>
      <c r="F21" s="25">
        <f t="shared" ref="F21:M21" si="27">SUM(F17:F20)</f>
        <v>-458.4</v>
      </c>
      <c r="G21" s="25">
        <f t="shared" ref="G21:I21" si="28">SUM(G17:G20)</f>
        <v>-57.3</v>
      </c>
      <c r="H21" s="25">
        <f t="shared" si="28"/>
        <v>-85.2</v>
      </c>
      <c r="I21" s="25">
        <f t="shared" si="28"/>
        <v>-55.2</v>
      </c>
      <c r="J21" s="25">
        <f t="shared" ref="J21:L21" si="29">SUM(J17:J20)</f>
        <v>-58.3</v>
      </c>
      <c r="K21" s="25">
        <f t="shared" si="29"/>
        <v>-256</v>
      </c>
      <c r="L21" s="25">
        <f t="shared" si="29"/>
        <v>-77</v>
      </c>
      <c r="M21" s="25">
        <f t="shared" si="27"/>
        <v>-83.3</v>
      </c>
      <c r="N21" s="25">
        <f t="shared" si="25"/>
        <v>-86.699999999999989</v>
      </c>
      <c r="O21" s="25">
        <f t="shared" si="25"/>
        <v>-84.7</v>
      </c>
      <c r="P21" s="25">
        <f t="shared" si="25"/>
        <v>-331.7</v>
      </c>
      <c r="Q21" s="25">
        <f t="shared" ref="Q21:R21" si="30">SUM(Q17:Q20)</f>
        <v>-104</v>
      </c>
      <c r="R21" s="25">
        <f t="shared" si="30"/>
        <v>-101.1</v>
      </c>
      <c r="S21" s="25">
        <f t="shared" ref="S21:T21" si="31">SUM(S17:S20)</f>
        <v>-96.4</v>
      </c>
      <c r="T21" s="25">
        <f t="shared" si="31"/>
        <v>-110.8</v>
      </c>
      <c r="U21" s="25">
        <f t="shared" ref="U21:V21" si="32">SUM(U17:U20)</f>
        <v>-412.30000000000007</v>
      </c>
      <c r="V21" s="25">
        <f t="shared" si="32"/>
        <v>-580.90000000000009</v>
      </c>
      <c r="W21" s="25">
        <f t="shared" ref="W21:X21" si="33">SUM(W17:W20)</f>
        <v>-69.399999999999991</v>
      </c>
      <c r="X21" s="25">
        <f t="shared" si="33"/>
        <v>-67.899999999999991</v>
      </c>
      <c r="Y21" s="26">
        <f t="shared" ref="Y21" si="34">SUM(Y17:Y20)</f>
        <v>-68.8</v>
      </c>
      <c r="Z21" s="101"/>
    </row>
    <row r="22" spans="1:26" ht="13.5" customHeight="1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101"/>
    </row>
    <row r="23" spans="1:26" ht="13.5" customHeight="1" x14ac:dyDescent="0.25">
      <c r="A23" s="122"/>
      <c r="B23" s="123" t="s">
        <v>151</v>
      </c>
      <c r="C23" s="123" t="s">
        <v>150</v>
      </c>
      <c r="D23" s="123" t="s">
        <v>149</v>
      </c>
      <c r="E23" s="123" t="s">
        <v>148</v>
      </c>
      <c r="F23" s="123" t="s">
        <v>147</v>
      </c>
      <c r="G23" s="123" t="s">
        <v>146</v>
      </c>
      <c r="H23" s="123" t="s">
        <v>145</v>
      </c>
      <c r="I23" s="123" t="s">
        <v>144</v>
      </c>
      <c r="J23" s="123" t="s">
        <v>143</v>
      </c>
      <c r="K23" s="123" t="s">
        <v>142</v>
      </c>
      <c r="L23" s="123" t="s">
        <v>152</v>
      </c>
      <c r="M23" s="123" t="s">
        <v>76</v>
      </c>
      <c r="N23" s="123" t="s">
        <v>77</v>
      </c>
      <c r="O23" s="123" t="s">
        <v>78</v>
      </c>
      <c r="P23" s="123" t="s">
        <v>81</v>
      </c>
      <c r="Q23" s="123" t="s">
        <v>94</v>
      </c>
      <c r="R23" s="123" t="s">
        <v>103</v>
      </c>
      <c r="S23" s="123" t="s">
        <v>105</v>
      </c>
      <c r="T23" s="123" t="s">
        <v>107</v>
      </c>
      <c r="U23" s="123" t="s">
        <v>108</v>
      </c>
      <c r="V23" s="123" t="s">
        <v>159</v>
      </c>
      <c r="W23" s="123" t="s">
        <v>164</v>
      </c>
      <c r="X23" s="123" t="str">
        <f>+X2</f>
        <v>Q2 2021</v>
      </c>
      <c r="Y23" s="123" t="str">
        <f>+Y2</f>
        <v>Q3 2021</v>
      </c>
      <c r="Z23" s="101"/>
    </row>
    <row r="24" spans="1:26" ht="13.5" customHeight="1" x14ac:dyDescent="0.25">
      <c r="A24" s="18" t="s">
        <v>63</v>
      </c>
      <c r="B24" s="19">
        <v>36.200000000000003</v>
      </c>
      <c r="C24" s="19">
        <v>24.9</v>
      </c>
      <c r="D24" s="19">
        <v>19.2</v>
      </c>
      <c r="E24" s="19">
        <v>-115.3</v>
      </c>
      <c r="F24" s="19">
        <v>-35</v>
      </c>
      <c r="G24" s="19">
        <v>4.7</v>
      </c>
      <c r="H24" s="19">
        <v>34.9</v>
      </c>
      <c r="I24" s="19">
        <v>27.8</v>
      </c>
      <c r="J24" s="19">
        <v>16.399999999999999</v>
      </c>
      <c r="K24" s="19">
        <v>83.8</v>
      </c>
      <c r="L24" s="19">
        <v>31.8</v>
      </c>
      <c r="M24" s="19">
        <f t="shared" ref="M24" si="35">21.8-0.3</f>
        <v>21.5</v>
      </c>
      <c r="N24" s="19">
        <f>35.4-0.1</f>
        <v>35.299999999999997</v>
      </c>
      <c r="O24" s="19">
        <f>57.1-0.5</f>
        <v>56.6</v>
      </c>
      <c r="P24" s="19">
        <f t="shared" ref="P24:P27" si="36">SUM(L24:O24)</f>
        <v>145.19999999999999</v>
      </c>
      <c r="Q24" s="19">
        <f>50.5-0.5</f>
        <v>50</v>
      </c>
      <c r="R24" s="19">
        <f>68.5-0.4</f>
        <v>68.099999999999994</v>
      </c>
      <c r="S24" s="19">
        <f>46.1-0.1</f>
        <v>46</v>
      </c>
      <c r="T24" s="19">
        <f>22.1+0.3</f>
        <v>22.400000000000002</v>
      </c>
      <c r="U24" s="19">
        <f>SUM(Q24:T24)</f>
        <v>186.5</v>
      </c>
      <c r="V24" s="19">
        <v>-140.6</v>
      </c>
      <c r="W24" s="19">
        <v>44.4</v>
      </c>
      <c r="X24" s="19">
        <v>29</v>
      </c>
      <c r="Y24" s="20">
        <v>33.4</v>
      </c>
      <c r="Z24" s="101"/>
    </row>
    <row r="25" spans="1:26" ht="13.5" customHeight="1" x14ac:dyDescent="0.25">
      <c r="A25" s="21" t="s">
        <v>80</v>
      </c>
      <c r="B25" s="86">
        <v>0</v>
      </c>
      <c r="C25" s="86">
        <v>0</v>
      </c>
      <c r="D25" s="86">
        <v>0</v>
      </c>
      <c r="E25" s="54">
        <v>0</v>
      </c>
      <c r="F25" s="54">
        <v>0</v>
      </c>
      <c r="G25" s="54">
        <v>0</v>
      </c>
      <c r="H25" s="19">
        <v>-1.5</v>
      </c>
      <c r="I25" s="19">
        <v>-0.9</v>
      </c>
      <c r="J25" s="19">
        <v>-1.2</v>
      </c>
      <c r="K25" s="19">
        <v>-3.6</v>
      </c>
      <c r="L25" s="19">
        <v>-0.3</v>
      </c>
      <c r="M25" s="19">
        <v>0.3</v>
      </c>
      <c r="N25" s="23">
        <v>4.9000000000000004</v>
      </c>
      <c r="O25" s="23">
        <v>8.5</v>
      </c>
      <c r="P25" s="19">
        <f t="shared" si="36"/>
        <v>13.4</v>
      </c>
      <c r="Q25" s="19">
        <v>35.700000000000003</v>
      </c>
      <c r="R25" s="19">
        <v>22.4</v>
      </c>
      <c r="S25" s="19">
        <v>21.2</v>
      </c>
      <c r="T25" s="19">
        <v>36.200000000000003</v>
      </c>
      <c r="U25" s="19">
        <f t="shared" ref="U25:U27" si="37">SUM(Q25:T25)</f>
        <v>115.5</v>
      </c>
      <c r="V25" s="19">
        <v>-0.8</v>
      </c>
      <c r="W25" s="54">
        <v>0</v>
      </c>
      <c r="X25" s="54">
        <v>0</v>
      </c>
      <c r="Y25" s="97">
        <v>0</v>
      </c>
      <c r="Z25" s="101"/>
    </row>
    <row r="26" spans="1:26" ht="13.5" customHeight="1" x14ac:dyDescent="0.25">
      <c r="A26" s="21" t="s">
        <v>172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19">
        <v>-3</v>
      </c>
      <c r="X26" s="19">
        <v>-5.8</v>
      </c>
      <c r="Y26" s="20">
        <v>-5.0999999999999996</v>
      </c>
      <c r="Z26" s="101"/>
    </row>
    <row r="27" spans="1:26" ht="13.5" customHeight="1" x14ac:dyDescent="0.25">
      <c r="A27" s="21" t="s">
        <v>64</v>
      </c>
      <c r="B27" s="86">
        <v>0</v>
      </c>
      <c r="C27" s="86">
        <v>0</v>
      </c>
      <c r="D27" s="86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23">
        <v>-0.6</v>
      </c>
      <c r="O27" s="23">
        <v>-1.4</v>
      </c>
      <c r="P27" s="19">
        <f t="shared" si="36"/>
        <v>-2</v>
      </c>
      <c r="Q27" s="19">
        <v>-3.4</v>
      </c>
      <c r="R27" s="19">
        <v>-0.4</v>
      </c>
      <c r="S27" s="19">
        <v>-1.6</v>
      </c>
      <c r="T27" s="19">
        <v>0.3</v>
      </c>
      <c r="U27" s="19">
        <f t="shared" si="37"/>
        <v>-5.1000000000000005</v>
      </c>
      <c r="V27" s="19">
        <v>-3.4</v>
      </c>
      <c r="W27" s="54">
        <v>0</v>
      </c>
      <c r="X27" s="54">
        <v>0</v>
      </c>
      <c r="Y27" s="97">
        <v>0</v>
      </c>
      <c r="Z27" s="101"/>
    </row>
    <row r="28" spans="1:26" ht="13.5" customHeight="1" x14ac:dyDescent="0.25">
      <c r="A28" s="24" t="s">
        <v>8</v>
      </c>
      <c r="B28" s="25">
        <f t="shared" ref="B28:P28" si="38">SUM(B24:B27)</f>
        <v>36.200000000000003</v>
      </c>
      <c r="C28" s="25">
        <f t="shared" ref="C28:E28" si="39">SUM(C24:C27)</f>
        <v>24.9</v>
      </c>
      <c r="D28" s="25">
        <f t="shared" si="39"/>
        <v>19.2</v>
      </c>
      <c r="E28" s="25">
        <f t="shared" si="39"/>
        <v>-115.3</v>
      </c>
      <c r="F28" s="25">
        <f t="shared" ref="F28:M28" si="40">SUM(F24:F27)</f>
        <v>-35</v>
      </c>
      <c r="G28" s="25">
        <f t="shared" ref="G28:I28" si="41">SUM(G24:G27)</f>
        <v>4.7</v>
      </c>
      <c r="H28" s="25">
        <f t="shared" si="41"/>
        <v>33.4</v>
      </c>
      <c r="I28" s="25">
        <f t="shared" si="41"/>
        <v>26.900000000000002</v>
      </c>
      <c r="J28" s="25">
        <f t="shared" ref="J28:L28" si="42">SUM(J24:J27)</f>
        <v>15.2</v>
      </c>
      <c r="K28" s="25">
        <f t="shared" si="42"/>
        <v>80.2</v>
      </c>
      <c r="L28" s="25">
        <f t="shared" si="42"/>
        <v>31.5</v>
      </c>
      <c r="M28" s="25">
        <f t="shared" si="40"/>
        <v>21.8</v>
      </c>
      <c r="N28" s="25">
        <f t="shared" si="38"/>
        <v>39.599999999999994</v>
      </c>
      <c r="O28" s="25">
        <f t="shared" si="38"/>
        <v>63.699999999999996</v>
      </c>
      <c r="P28" s="25">
        <f t="shared" si="38"/>
        <v>156.6</v>
      </c>
      <c r="Q28" s="25">
        <f t="shared" ref="Q28:R28" si="43">SUM(Q24:Q27)</f>
        <v>82.3</v>
      </c>
      <c r="R28" s="25">
        <f t="shared" si="43"/>
        <v>90.1</v>
      </c>
      <c r="S28" s="25">
        <f t="shared" ref="S28:T28" si="44">SUM(S24:S27)</f>
        <v>65.600000000000009</v>
      </c>
      <c r="T28" s="25">
        <f t="shared" si="44"/>
        <v>58.900000000000006</v>
      </c>
      <c r="U28" s="25">
        <f t="shared" ref="U28:V28" si="45">SUM(U24:U27)</f>
        <v>296.89999999999998</v>
      </c>
      <c r="V28" s="25">
        <f t="shared" si="45"/>
        <v>-144.80000000000001</v>
      </c>
      <c r="W28" s="25">
        <f t="shared" ref="W28:X28" si="46">SUM(W24:W27)</f>
        <v>41.4</v>
      </c>
      <c r="X28" s="25">
        <f t="shared" si="46"/>
        <v>23.2</v>
      </c>
      <c r="Y28" s="26">
        <f t="shared" ref="Y28" si="47">SUM(Y24:Y27)</f>
        <v>28.299999999999997</v>
      </c>
      <c r="Z28" s="101"/>
    </row>
    <row r="29" spans="1:26" ht="13.5" customHeight="1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Z29" s="101"/>
    </row>
    <row r="30" spans="1:26" ht="13.5" customHeight="1" x14ac:dyDescent="0.25">
      <c r="A30" s="122"/>
      <c r="B30" s="123" t="s">
        <v>151</v>
      </c>
      <c r="C30" s="123" t="s">
        <v>150</v>
      </c>
      <c r="D30" s="123" t="s">
        <v>149</v>
      </c>
      <c r="E30" s="123" t="s">
        <v>148</v>
      </c>
      <c r="F30" s="123" t="s">
        <v>147</v>
      </c>
      <c r="G30" s="123" t="s">
        <v>146</v>
      </c>
      <c r="H30" s="123" t="s">
        <v>145</v>
      </c>
      <c r="I30" s="123" t="s">
        <v>144</v>
      </c>
      <c r="J30" s="123" t="s">
        <v>143</v>
      </c>
      <c r="K30" s="123" t="s">
        <v>142</v>
      </c>
      <c r="L30" s="123" t="s">
        <v>152</v>
      </c>
      <c r="M30" s="123" t="s">
        <v>76</v>
      </c>
      <c r="N30" s="123" t="s">
        <v>77</v>
      </c>
      <c r="O30" s="123" t="s">
        <v>78</v>
      </c>
      <c r="P30" s="123" t="s">
        <v>81</v>
      </c>
      <c r="Q30" s="123" t="s">
        <v>94</v>
      </c>
      <c r="R30" s="123" t="s">
        <v>103</v>
      </c>
      <c r="S30" s="123" t="s">
        <v>105</v>
      </c>
      <c r="T30" s="123" t="s">
        <v>107</v>
      </c>
      <c r="U30" s="123" t="s">
        <v>108</v>
      </c>
      <c r="V30" s="123" t="s">
        <v>159</v>
      </c>
      <c r="W30" s="123" t="s">
        <v>164</v>
      </c>
      <c r="X30" s="123" t="str">
        <f>+X2</f>
        <v>Q2 2021</v>
      </c>
      <c r="Y30" s="123" t="str">
        <f>+Y2</f>
        <v>Q3 2021</v>
      </c>
      <c r="Z30" s="101"/>
    </row>
    <row r="31" spans="1:26" ht="13.5" customHeight="1" x14ac:dyDescent="0.25">
      <c r="A31" s="18" t="s">
        <v>63</v>
      </c>
      <c r="B31" s="19">
        <v>89.7</v>
      </c>
      <c r="C31" s="19">
        <v>118.2</v>
      </c>
      <c r="D31" s="19">
        <v>117.2</v>
      </c>
      <c r="E31" s="19">
        <v>76.2</v>
      </c>
      <c r="F31" s="19">
        <v>401.3</v>
      </c>
      <c r="G31" s="19">
        <v>54.5</v>
      </c>
      <c r="H31" s="19">
        <v>65.400000000000006</v>
      </c>
      <c r="I31" s="19">
        <v>171.3</v>
      </c>
      <c r="J31" s="19">
        <v>132.80000000000001</v>
      </c>
      <c r="K31" s="19">
        <v>424</v>
      </c>
      <c r="L31" s="19">
        <v>47</v>
      </c>
      <c r="M31" s="19">
        <v>48.3</v>
      </c>
      <c r="N31" s="19">
        <v>54.3</v>
      </c>
      <c r="O31" s="19">
        <v>37.799999999999997</v>
      </c>
      <c r="P31" s="19">
        <f t="shared" ref="P31:P34" si="48">SUM(L31:O31)</f>
        <v>187.39999999999998</v>
      </c>
      <c r="Q31" s="19">
        <v>29.9</v>
      </c>
      <c r="R31" s="19">
        <v>33.5</v>
      </c>
      <c r="S31" s="19">
        <v>24.5</v>
      </c>
      <c r="T31" s="19">
        <v>42.4</v>
      </c>
      <c r="U31" s="19">
        <f>SUM(Q31:T31)</f>
        <v>130.30000000000001</v>
      </c>
      <c r="V31" s="19">
        <v>42.7</v>
      </c>
      <c r="W31" s="19">
        <v>12.8</v>
      </c>
      <c r="X31" s="19">
        <v>52.8</v>
      </c>
      <c r="Y31" s="20">
        <v>64.099999999999994</v>
      </c>
      <c r="Z31" s="101"/>
    </row>
    <row r="32" spans="1:26" ht="13.5" customHeight="1" x14ac:dyDescent="0.25">
      <c r="A32" s="21" t="s">
        <v>80</v>
      </c>
      <c r="B32" s="86">
        <v>0</v>
      </c>
      <c r="C32" s="86">
        <v>0</v>
      </c>
      <c r="D32" s="86">
        <v>0</v>
      </c>
      <c r="E32" s="54">
        <v>0</v>
      </c>
      <c r="F32" s="54">
        <v>0</v>
      </c>
      <c r="G32" s="19">
        <v>0.9</v>
      </c>
      <c r="H32" s="19">
        <v>52.7</v>
      </c>
      <c r="I32" s="19">
        <v>4.5999999999999996</v>
      </c>
      <c r="J32" s="19">
        <v>9</v>
      </c>
      <c r="K32" s="19">
        <v>67.2</v>
      </c>
      <c r="L32" s="19">
        <v>46.4</v>
      </c>
      <c r="M32" s="19">
        <v>66.5</v>
      </c>
      <c r="N32" s="23">
        <v>75</v>
      </c>
      <c r="O32" s="23">
        <v>19.600000000000001</v>
      </c>
      <c r="P32" s="19">
        <f t="shared" si="48"/>
        <v>207.5</v>
      </c>
      <c r="Q32" s="19">
        <v>17.8</v>
      </c>
      <c r="R32" s="19">
        <v>11.2</v>
      </c>
      <c r="S32" s="19">
        <v>72.599999999999994</v>
      </c>
      <c r="T32" s="19">
        <v>40.799999999999997</v>
      </c>
      <c r="U32" s="19">
        <f t="shared" ref="U32:U34" si="49">SUM(Q32:T32)</f>
        <v>142.39999999999998</v>
      </c>
      <c r="V32" s="19">
        <v>30.2</v>
      </c>
      <c r="W32" s="54">
        <v>0</v>
      </c>
      <c r="X32" s="54">
        <v>0</v>
      </c>
      <c r="Y32" s="97">
        <v>0</v>
      </c>
      <c r="Z32" s="101"/>
    </row>
    <row r="33" spans="1:27" ht="13.5" customHeight="1" x14ac:dyDescent="0.25">
      <c r="A33" s="21" t="s">
        <v>172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0.1</v>
      </c>
      <c r="X33" s="54">
        <v>0.6</v>
      </c>
      <c r="Y33" s="36">
        <v>8.3000000000000007</v>
      </c>
      <c r="Z33" s="101"/>
    </row>
    <row r="34" spans="1:27" ht="13.5" customHeight="1" x14ac:dyDescent="0.25">
      <c r="A34" s="21" t="s">
        <v>64</v>
      </c>
      <c r="B34" s="86">
        <v>0</v>
      </c>
      <c r="C34" s="86">
        <v>0</v>
      </c>
      <c r="D34" s="86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19">
        <v>-23.9</v>
      </c>
      <c r="N34" s="19">
        <v>-6.1</v>
      </c>
      <c r="O34" s="19">
        <v>-4.4000000000000004</v>
      </c>
      <c r="P34" s="19">
        <f t="shared" si="48"/>
        <v>-34.4</v>
      </c>
      <c r="Q34" s="19">
        <v>-1.3</v>
      </c>
      <c r="R34" s="19">
        <v>-1.8</v>
      </c>
      <c r="S34" s="19">
        <v>-3.7</v>
      </c>
      <c r="T34" s="86">
        <v>0</v>
      </c>
      <c r="U34" s="19">
        <f t="shared" si="49"/>
        <v>-6.8000000000000007</v>
      </c>
      <c r="V34" s="34">
        <v>0</v>
      </c>
      <c r="W34" s="34">
        <v>0</v>
      </c>
      <c r="X34" s="34">
        <v>0</v>
      </c>
      <c r="Y34" s="36">
        <v>0</v>
      </c>
      <c r="Z34" s="101"/>
    </row>
    <row r="35" spans="1:27" ht="13.5" customHeight="1" x14ac:dyDescent="0.25">
      <c r="A35" s="24" t="s">
        <v>82</v>
      </c>
      <c r="B35" s="25">
        <f t="shared" ref="B35:P35" si="50">SUM(B31:B34)</f>
        <v>89.7</v>
      </c>
      <c r="C35" s="25">
        <f t="shared" ref="C35:E35" si="51">SUM(C31:C34)</f>
        <v>118.2</v>
      </c>
      <c r="D35" s="25">
        <f t="shared" si="51"/>
        <v>117.2</v>
      </c>
      <c r="E35" s="25">
        <f t="shared" si="51"/>
        <v>76.2</v>
      </c>
      <c r="F35" s="25">
        <f t="shared" ref="F35:M35" si="52">SUM(F31:F34)</f>
        <v>401.3</v>
      </c>
      <c r="G35" s="25">
        <f t="shared" ref="G35:I35" si="53">SUM(G31:G34)</f>
        <v>55.4</v>
      </c>
      <c r="H35" s="25">
        <f t="shared" si="53"/>
        <v>118.10000000000001</v>
      </c>
      <c r="I35" s="25">
        <f t="shared" si="53"/>
        <v>175.9</v>
      </c>
      <c r="J35" s="25">
        <f t="shared" ref="J35:L35" si="54">SUM(J31:J34)</f>
        <v>141.80000000000001</v>
      </c>
      <c r="K35" s="25">
        <f t="shared" si="54"/>
        <v>491.2</v>
      </c>
      <c r="L35" s="25">
        <f t="shared" si="54"/>
        <v>93.4</v>
      </c>
      <c r="M35" s="25">
        <f t="shared" si="52"/>
        <v>90.9</v>
      </c>
      <c r="N35" s="25">
        <f t="shared" si="50"/>
        <v>123.20000000000002</v>
      </c>
      <c r="O35" s="25">
        <f t="shared" si="50"/>
        <v>53</v>
      </c>
      <c r="P35" s="25">
        <f t="shared" si="50"/>
        <v>360.5</v>
      </c>
      <c r="Q35" s="25">
        <f t="shared" ref="Q35:R35" si="55">SUM(Q31:Q34)</f>
        <v>46.400000000000006</v>
      </c>
      <c r="R35" s="25">
        <f t="shared" si="55"/>
        <v>42.900000000000006</v>
      </c>
      <c r="S35" s="25">
        <f t="shared" ref="S35:T35" si="56">SUM(S31:S34)</f>
        <v>93.399999999999991</v>
      </c>
      <c r="T35" s="25">
        <f t="shared" si="56"/>
        <v>83.199999999999989</v>
      </c>
      <c r="U35" s="25">
        <f t="shared" ref="U35:V35" si="57">SUM(U31:U34)</f>
        <v>265.89999999999998</v>
      </c>
      <c r="V35" s="25">
        <f t="shared" si="57"/>
        <v>72.900000000000006</v>
      </c>
      <c r="W35" s="25">
        <f t="shared" ref="W35:X35" si="58">SUM(W31:W34)</f>
        <v>12.9</v>
      </c>
      <c r="X35" s="25">
        <f t="shared" si="58"/>
        <v>53.4</v>
      </c>
      <c r="Y35" s="26">
        <f t="shared" ref="Y35" si="59">SUM(Y31:Y34)</f>
        <v>72.399999999999991</v>
      </c>
      <c r="Z35" s="101"/>
    </row>
    <row r="36" spans="1:27" ht="13.5" customHeight="1" x14ac:dyDescent="0.2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27" ht="13.5" customHeight="1" x14ac:dyDescent="0.25">
      <c r="A37" s="122"/>
      <c r="B37" s="123" t="s">
        <v>151</v>
      </c>
      <c r="C37" s="123" t="s">
        <v>150</v>
      </c>
      <c r="D37" s="123" t="s">
        <v>149</v>
      </c>
      <c r="E37" s="123" t="s">
        <v>148</v>
      </c>
      <c r="F37" s="123" t="s">
        <v>147</v>
      </c>
      <c r="G37" s="123" t="s">
        <v>146</v>
      </c>
      <c r="H37" s="123" t="s">
        <v>145</v>
      </c>
      <c r="I37" s="123" t="s">
        <v>144</v>
      </c>
      <c r="J37" s="123" t="s">
        <v>143</v>
      </c>
      <c r="K37" s="123" t="s">
        <v>142</v>
      </c>
      <c r="L37" s="123" t="s">
        <v>152</v>
      </c>
      <c r="M37" s="123" t="s">
        <v>76</v>
      </c>
      <c r="N37" s="123" t="s">
        <v>77</v>
      </c>
      <c r="O37" s="123" t="s">
        <v>78</v>
      </c>
      <c r="P37" s="123" t="s">
        <v>81</v>
      </c>
      <c r="Q37" s="123" t="s">
        <v>94</v>
      </c>
      <c r="R37" s="123" t="s">
        <v>103</v>
      </c>
      <c r="S37" s="123" t="s">
        <v>105</v>
      </c>
      <c r="T37" s="123" t="s">
        <v>107</v>
      </c>
      <c r="U37" s="123" t="s">
        <v>108</v>
      </c>
      <c r="V37" s="123" t="s">
        <v>159</v>
      </c>
      <c r="W37" s="123" t="s">
        <v>164</v>
      </c>
      <c r="X37" s="123" t="str">
        <f>+X2</f>
        <v>Q2 2021</v>
      </c>
      <c r="Y37" s="123" t="str">
        <f>+Y2</f>
        <v>Q3 2021</v>
      </c>
    </row>
    <row r="38" spans="1:27" ht="13.5" customHeight="1" x14ac:dyDescent="0.25">
      <c r="A38" s="18" t="s">
        <v>63</v>
      </c>
      <c r="B38" s="19">
        <v>2846.6</v>
      </c>
      <c r="C38" s="19">
        <v>2901.3</v>
      </c>
      <c r="D38" s="19">
        <v>2958.1</v>
      </c>
      <c r="E38" s="19">
        <v>2757.2</v>
      </c>
      <c r="F38" s="19">
        <f>+E38</f>
        <v>2757.2</v>
      </c>
      <c r="G38" s="19">
        <v>2751.6</v>
      </c>
      <c r="H38" s="19">
        <v>2726.8</v>
      </c>
      <c r="I38" s="19">
        <v>2840.2</v>
      </c>
      <c r="J38" s="19">
        <v>2913.1</v>
      </c>
      <c r="K38" s="19">
        <v>2913.1</v>
      </c>
      <c r="L38" s="19">
        <v>2887.4</v>
      </c>
      <c r="M38" s="19">
        <v>2877.5</v>
      </c>
      <c r="N38" s="19">
        <v>2820.3</v>
      </c>
      <c r="O38" s="19">
        <v>2743.7</v>
      </c>
      <c r="P38" s="19">
        <v>2743.7</v>
      </c>
      <c r="Q38" s="19">
        <v>2680.7</v>
      </c>
      <c r="R38" s="19">
        <v>2604.5</v>
      </c>
      <c r="S38" s="19">
        <v>2554.6</v>
      </c>
      <c r="T38" s="19">
        <v>2494.4</v>
      </c>
      <c r="U38" s="19">
        <v>2494.4</v>
      </c>
      <c r="V38" s="19">
        <f>231.6+1910.8</f>
        <v>2142.4</v>
      </c>
      <c r="W38" s="19">
        <f>2075.9+0.1</f>
        <v>2076</v>
      </c>
      <c r="X38" s="19">
        <v>2064</v>
      </c>
      <c r="Y38" s="20">
        <v>2058.3000000000002</v>
      </c>
      <c r="AA38" s="19"/>
    </row>
    <row r="39" spans="1:27" ht="13.5" customHeight="1" x14ac:dyDescent="0.25">
      <c r="A39" s="21" t="s">
        <v>80</v>
      </c>
      <c r="B39" s="86">
        <v>0</v>
      </c>
      <c r="C39" s="86">
        <v>0</v>
      </c>
      <c r="D39" s="86">
        <v>0</v>
      </c>
      <c r="E39" s="54">
        <v>0</v>
      </c>
      <c r="F39" s="54">
        <f t="shared" ref="F39:F42" si="60">+E39</f>
        <v>0</v>
      </c>
      <c r="G39" s="19">
        <v>0.9</v>
      </c>
      <c r="H39" s="19">
        <v>53.6</v>
      </c>
      <c r="I39" s="19">
        <v>58.2</v>
      </c>
      <c r="J39" s="19">
        <v>67.2</v>
      </c>
      <c r="K39" s="19">
        <v>67.2</v>
      </c>
      <c r="L39" s="19">
        <v>113.6</v>
      </c>
      <c r="M39" s="19">
        <v>163.30000000000001</v>
      </c>
      <c r="N39" s="23">
        <v>253.3</v>
      </c>
      <c r="O39" s="23">
        <v>227.3</v>
      </c>
      <c r="P39" s="23">
        <v>227.3</v>
      </c>
      <c r="Q39" s="19">
        <v>375.2</v>
      </c>
      <c r="R39" s="19">
        <v>400.8</v>
      </c>
      <c r="S39" s="19">
        <v>455.1</v>
      </c>
      <c r="T39" s="19">
        <v>547.4</v>
      </c>
      <c r="U39" s="19">
        <v>547.4</v>
      </c>
      <c r="V39" s="34">
        <v>0</v>
      </c>
      <c r="W39" s="34">
        <v>0</v>
      </c>
      <c r="X39" s="34">
        <v>0</v>
      </c>
      <c r="Y39" s="36">
        <v>0</v>
      </c>
    </row>
    <row r="40" spans="1:27" ht="13.5" customHeight="1" x14ac:dyDescent="0.25">
      <c r="A40" s="21" t="s">
        <v>172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105.8</v>
      </c>
      <c r="X40" s="54">
        <f>121.3-1.6</f>
        <v>119.7</v>
      </c>
      <c r="Y40" s="97">
        <f>121.9-6.6</f>
        <v>115.30000000000001</v>
      </c>
    </row>
    <row r="41" spans="1:27" ht="13.5" customHeight="1" x14ac:dyDescent="0.25">
      <c r="A41" s="21" t="s">
        <v>86</v>
      </c>
      <c r="B41" s="19">
        <v>17.3</v>
      </c>
      <c r="C41" s="19">
        <v>15.9</v>
      </c>
      <c r="D41" s="19">
        <v>18.600000000000001</v>
      </c>
      <c r="E41" s="19">
        <v>14.1</v>
      </c>
      <c r="F41" s="19">
        <f t="shared" si="60"/>
        <v>14.1</v>
      </c>
      <c r="G41" s="19">
        <v>13.5</v>
      </c>
      <c r="H41" s="19">
        <v>13.1</v>
      </c>
      <c r="I41" s="19">
        <v>12.8</v>
      </c>
      <c r="J41" s="19">
        <v>18.7</v>
      </c>
      <c r="K41" s="19">
        <v>18.7</v>
      </c>
      <c r="L41" s="19">
        <v>17.899999999999999</v>
      </c>
      <c r="M41" s="19">
        <v>17.8</v>
      </c>
      <c r="N41" s="23">
        <v>17.899999999999999</v>
      </c>
      <c r="O41" s="23">
        <v>19.600000000000001</v>
      </c>
      <c r="P41" s="23">
        <v>19.600000000000001</v>
      </c>
      <c r="Q41" s="19">
        <v>43.4</v>
      </c>
      <c r="R41" s="19">
        <v>44.8</v>
      </c>
      <c r="S41" s="19">
        <v>39.700000000000003</v>
      </c>
      <c r="T41" s="19">
        <v>43.8</v>
      </c>
      <c r="U41" s="19">
        <v>43.8</v>
      </c>
      <c r="V41" s="19">
        <v>43.2</v>
      </c>
      <c r="W41" s="19">
        <v>89.9</v>
      </c>
      <c r="X41" s="19">
        <v>88</v>
      </c>
      <c r="Y41" s="20">
        <f>86.9+6.6</f>
        <v>93.5</v>
      </c>
    </row>
    <row r="42" spans="1:27" ht="13.5" customHeight="1" x14ac:dyDescent="0.25">
      <c r="A42" s="21" t="s">
        <v>64</v>
      </c>
      <c r="B42" s="86">
        <v>0</v>
      </c>
      <c r="C42" s="86">
        <v>0</v>
      </c>
      <c r="D42" s="86">
        <v>0</v>
      </c>
      <c r="E42" s="54">
        <v>0</v>
      </c>
      <c r="F42" s="54">
        <f t="shared" si="60"/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19">
        <v>-30.599999999999998</v>
      </c>
      <c r="N42" s="19">
        <v>-36.700000000000003</v>
      </c>
      <c r="O42" s="19">
        <v>-38.9</v>
      </c>
      <c r="P42" s="19">
        <v>-38.9</v>
      </c>
      <c r="Q42" s="19">
        <v>-193.5</v>
      </c>
      <c r="R42" s="19">
        <v>-212.9</v>
      </c>
      <c r="S42" s="19">
        <v>-224.5</v>
      </c>
      <c r="T42" s="19">
        <v>-288.10000000000002</v>
      </c>
      <c r="U42" s="19">
        <v>-288.10000000000002</v>
      </c>
      <c r="V42" s="34">
        <v>0</v>
      </c>
      <c r="W42" s="34">
        <v>0</v>
      </c>
      <c r="X42" s="34">
        <v>0</v>
      </c>
      <c r="Y42" s="36">
        <v>0</v>
      </c>
    </row>
    <row r="43" spans="1:27" ht="13.5" customHeight="1" x14ac:dyDescent="0.25">
      <c r="A43" s="24" t="s">
        <v>87</v>
      </c>
      <c r="B43" s="25">
        <f t="shared" ref="B43:P43" si="61">SUM(B38:B42)</f>
        <v>2863.9</v>
      </c>
      <c r="C43" s="25">
        <f t="shared" ref="C43:E43" si="62">SUM(C38:C42)</f>
        <v>2917.2000000000003</v>
      </c>
      <c r="D43" s="25">
        <f t="shared" si="62"/>
        <v>2976.7</v>
      </c>
      <c r="E43" s="25">
        <f t="shared" si="62"/>
        <v>2771.2999999999997</v>
      </c>
      <c r="F43" s="25">
        <f t="shared" ref="F43:M43" si="63">SUM(F38:F42)</f>
        <v>2771.2999999999997</v>
      </c>
      <c r="G43" s="25">
        <f t="shared" ref="G43:I43" si="64">SUM(G38:G42)</f>
        <v>2766</v>
      </c>
      <c r="H43" s="25">
        <f t="shared" si="64"/>
        <v>2793.5</v>
      </c>
      <c r="I43" s="25">
        <f t="shared" si="64"/>
        <v>2911.2</v>
      </c>
      <c r="J43" s="25">
        <f t="shared" ref="J43:L43" si="65">SUM(J38:J42)</f>
        <v>2998.9999999999995</v>
      </c>
      <c r="K43" s="25">
        <f t="shared" si="65"/>
        <v>2998.9999999999995</v>
      </c>
      <c r="L43" s="25">
        <f t="shared" si="65"/>
        <v>3018.9</v>
      </c>
      <c r="M43" s="25">
        <f t="shared" si="63"/>
        <v>3028.0000000000005</v>
      </c>
      <c r="N43" s="25">
        <f t="shared" si="61"/>
        <v>3054.8000000000006</v>
      </c>
      <c r="O43" s="25">
        <f t="shared" si="61"/>
        <v>2951.7</v>
      </c>
      <c r="P43" s="25">
        <f t="shared" si="61"/>
        <v>2951.7</v>
      </c>
      <c r="Q43" s="25">
        <f t="shared" ref="Q43:R43" si="66">SUM(Q38:Q42)</f>
        <v>2905.7999999999997</v>
      </c>
      <c r="R43" s="25">
        <f t="shared" si="66"/>
        <v>2837.2000000000003</v>
      </c>
      <c r="S43" s="25">
        <f t="shared" ref="S43:T43" si="67">SUM(S38:S42)</f>
        <v>2824.8999999999996</v>
      </c>
      <c r="T43" s="25">
        <f t="shared" si="67"/>
        <v>2797.5000000000005</v>
      </c>
      <c r="U43" s="25">
        <f t="shared" ref="U43:V43" si="68">SUM(U38:U42)</f>
        <v>2797.5000000000005</v>
      </c>
      <c r="V43" s="25">
        <f t="shared" si="68"/>
        <v>2185.6</v>
      </c>
      <c r="W43" s="25">
        <f t="shared" ref="W43:X43" si="69">SUM(W38:W42)</f>
        <v>2271.7000000000003</v>
      </c>
      <c r="X43" s="25">
        <f t="shared" si="69"/>
        <v>2271.6999999999998</v>
      </c>
      <c r="Y43" s="26">
        <f t="shared" ref="Y43" si="70">SUM(Y38:Y42)</f>
        <v>2267.1000000000004</v>
      </c>
    </row>
    <row r="44" spans="1:27" ht="13.5" customHeight="1" x14ac:dyDescent="0.2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27" ht="13.5" customHeight="1" x14ac:dyDescent="0.25">
      <c r="A45" s="122"/>
      <c r="B45" s="123" t="s">
        <v>151</v>
      </c>
      <c r="C45" s="123" t="s">
        <v>150</v>
      </c>
      <c r="D45" s="123" t="s">
        <v>149</v>
      </c>
      <c r="E45" s="123" t="s">
        <v>148</v>
      </c>
      <c r="F45" s="123" t="s">
        <v>147</v>
      </c>
      <c r="G45" s="123" t="s">
        <v>146</v>
      </c>
      <c r="H45" s="123" t="s">
        <v>145</v>
      </c>
      <c r="I45" s="123" t="s">
        <v>144</v>
      </c>
      <c r="J45" s="123" t="s">
        <v>143</v>
      </c>
      <c r="K45" s="123" t="s">
        <v>142</v>
      </c>
      <c r="L45" s="123" t="s">
        <v>152</v>
      </c>
      <c r="M45" s="123" t="s">
        <v>76</v>
      </c>
      <c r="N45" s="123" t="s">
        <v>77</v>
      </c>
      <c r="O45" s="123" t="s">
        <v>78</v>
      </c>
      <c r="P45" s="123" t="s">
        <v>81</v>
      </c>
      <c r="Q45" s="123" t="s">
        <v>94</v>
      </c>
      <c r="R45" s="123" t="s">
        <v>103</v>
      </c>
      <c r="S45" s="123" t="s">
        <v>105</v>
      </c>
      <c r="T45" s="123" t="s">
        <v>107</v>
      </c>
      <c r="U45" s="123" t="s">
        <v>108</v>
      </c>
      <c r="V45" s="123" t="s">
        <v>159</v>
      </c>
      <c r="W45" s="123" t="s">
        <v>164</v>
      </c>
      <c r="X45" s="123" t="str">
        <f>+X2</f>
        <v>Q2 2021</v>
      </c>
      <c r="Y45" s="123" t="str">
        <f>+Y2</f>
        <v>Q3 2021</v>
      </c>
    </row>
    <row r="46" spans="1:27" ht="13.5" customHeight="1" x14ac:dyDescent="0.25">
      <c r="A46" s="18" t="s">
        <v>63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19">
        <v>1.6</v>
      </c>
      <c r="R46" s="19">
        <v>1.6</v>
      </c>
      <c r="S46" s="19">
        <v>1.6</v>
      </c>
      <c r="T46" s="19">
        <v>1.6</v>
      </c>
      <c r="U46" s="19">
        <f>SUM(Q46:T46)</f>
        <v>6.4</v>
      </c>
      <c r="V46" s="19">
        <v>5.9</v>
      </c>
      <c r="W46" s="19">
        <v>1.6</v>
      </c>
      <c r="X46" s="19">
        <v>1.7</v>
      </c>
      <c r="Y46" s="20">
        <v>1.6</v>
      </c>
    </row>
    <row r="47" spans="1:27" ht="13.5" customHeight="1" x14ac:dyDescent="0.25">
      <c r="A47" s="21" t="s">
        <v>80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19">
        <f>0.2+4.8</f>
        <v>5</v>
      </c>
      <c r="R47" s="19">
        <v>8.6</v>
      </c>
      <c r="S47" s="19">
        <v>6.9</v>
      </c>
      <c r="T47" s="19">
        <v>6.9</v>
      </c>
      <c r="U47" s="19">
        <f t="shared" ref="U47:U49" si="71">SUM(Q47:T47)</f>
        <v>27.4</v>
      </c>
      <c r="V47" s="34">
        <v>0</v>
      </c>
      <c r="W47" s="34">
        <v>0</v>
      </c>
      <c r="X47" s="34">
        <v>0</v>
      </c>
      <c r="Y47" s="36">
        <v>0</v>
      </c>
    </row>
    <row r="48" spans="1:27" ht="13.5" customHeight="1" x14ac:dyDescent="0.25">
      <c r="A48" s="21" t="s">
        <v>172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97">
        <v>6.8</v>
      </c>
    </row>
    <row r="49" spans="1:25" ht="13.5" customHeight="1" x14ac:dyDescent="0.25">
      <c r="A49" s="21" t="s">
        <v>64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19">
        <v>-4.8</v>
      </c>
      <c r="R49" s="19">
        <v>-6.9</v>
      </c>
      <c r="S49" s="19">
        <v>-5.9</v>
      </c>
      <c r="T49" s="19">
        <v>-5.9</v>
      </c>
      <c r="U49" s="19">
        <f t="shared" si="71"/>
        <v>-23.5</v>
      </c>
      <c r="V49" s="34">
        <v>0</v>
      </c>
      <c r="W49" s="54">
        <v>0</v>
      </c>
      <c r="X49" s="54">
        <v>0</v>
      </c>
      <c r="Y49" s="97">
        <v>0</v>
      </c>
    </row>
    <row r="50" spans="1:25" ht="13.5" customHeight="1" x14ac:dyDescent="0.25">
      <c r="A50" s="24" t="s">
        <v>95</v>
      </c>
      <c r="B50" s="94">
        <f t="shared" ref="B50:Q50" si="72">SUM(B46:B49)</f>
        <v>0</v>
      </c>
      <c r="C50" s="94">
        <f t="shared" ref="C50:E50" si="73">SUM(C46:C49)</f>
        <v>0</v>
      </c>
      <c r="D50" s="94">
        <f t="shared" si="73"/>
        <v>0</v>
      </c>
      <c r="E50" s="94">
        <f t="shared" si="73"/>
        <v>0</v>
      </c>
      <c r="F50" s="94">
        <f t="shared" ref="F50:M50" si="74">SUM(F46:F49)</f>
        <v>0</v>
      </c>
      <c r="G50" s="94">
        <f t="shared" ref="G50:I50" si="75">SUM(G46:G49)</f>
        <v>0</v>
      </c>
      <c r="H50" s="94">
        <f t="shared" si="75"/>
        <v>0</v>
      </c>
      <c r="I50" s="94">
        <f t="shared" si="75"/>
        <v>0</v>
      </c>
      <c r="J50" s="94">
        <f t="shared" ref="J50:L50" si="76">SUM(J46:J49)</f>
        <v>0</v>
      </c>
      <c r="K50" s="94">
        <f t="shared" si="76"/>
        <v>0</v>
      </c>
      <c r="L50" s="94">
        <f t="shared" si="76"/>
        <v>0</v>
      </c>
      <c r="M50" s="94">
        <f t="shared" si="74"/>
        <v>0</v>
      </c>
      <c r="N50" s="94">
        <f t="shared" si="72"/>
        <v>0</v>
      </c>
      <c r="O50" s="94">
        <f t="shared" si="72"/>
        <v>0</v>
      </c>
      <c r="P50" s="94">
        <f t="shared" si="72"/>
        <v>0</v>
      </c>
      <c r="Q50" s="25">
        <f t="shared" si="72"/>
        <v>1.7999999999999998</v>
      </c>
      <c r="R50" s="25">
        <f t="shared" ref="R50:S50" si="77">SUM(R46:R49)</f>
        <v>3.2999999999999989</v>
      </c>
      <c r="S50" s="25">
        <f t="shared" si="77"/>
        <v>2.5999999999999996</v>
      </c>
      <c r="T50" s="25">
        <f t="shared" ref="T50:U50" si="78">SUM(T46:T49)</f>
        <v>2.5999999999999996</v>
      </c>
      <c r="U50" s="25">
        <f t="shared" si="78"/>
        <v>10.299999999999997</v>
      </c>
      <c r="V50" s="25">
        <f t="shared" ref="V50:W50" si="79">SUM(V46:V49)</f>
        <v>5.9</v>
      </c>
      <c r="W50" s="25">
        <f t="shared" si="79"/>
        <v>1.6</v>
      </c>
      <c r="X50" s="25">
        <f t="shared" ref="X50:Y50" si="80">SUM(X46:X49)</f>
        <v>1.7</v>
      </c>
      <c r="Y50" s="26">
        <f t="shared" si="80"/>
        <v>8.4</v>
      </c>
    </row>
    <row r="51" spans="1:25" ht="13.5" customHeight="1" x14ac:dyDescent="0.2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25" ht="13.5" customHeight="1" x14ac:dyDescent="0.25">
      <c r="A52" s="21" t="s">
        <v>96</v>
      </c>
    </row>
  </sheetData>
  <pageMargins left="0.7" right="0.7" top="0.75" bottom="0.75" header="0.3" footer="0.3"/>
  <pageSetup scale="83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5C4710E83B649AA3F6F96E185FC7D" ma:contentTypeVersion="6" ma:contentTypeDescription="Create a new document." ma:contentTypeScope="" ma:versionID="2fff939da80e922584679e47646bacc7">
  <xsd:schema xmlns:xsd="http://www.w3.org/2001/XMLSchema" xmlns:xs="http://www.w3.org/2001/XMLSchema" xmlns:p="http://schemas.microsoft.com/office/2006/metadata/properties" xmlns:ns2="d93f7195-26ec-47f6-8255-9f1f78f7f44c" xmlns:ns3="71c27b45-13a9-4eae-b7dd-94b7a92ff0e6" targetNamespace="http://schemas.microsoft.com/office/2006/metadata/properties" ma:root="true" ma:fieldsID="c768d891b057f6fa65829b24fe1e47a9" ns2:_="" ns3:_="">
    <xsd:import namespace="d93f7195-26ec-47f6-8255-9f1f78f7f44c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f7195-26ec-47f6-8255-9f1f78f7f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1c27b45-13a9-4eae-b7dd-94b7a92ff0e6">
      <UserInfo>
        <DisplayName>Marita Sandvoll</DisplayName>
        <AccountId>264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7C4F67-DF70-4473-8A78-B3E24DBEFA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f7195-26ec-47f6-8255-9f1f78f7f44c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A4E74D-DEF2-4350-8675-8369F8D100C4}">
  <ds:schemaRefs>
    <ds:schemaRef ds:uri="http://purl.org/dc/elements/1.1/"/>
    <ds:schemaRef ds:uri="http://schemas.microsoft.com/office/2006/metadata/properties"/>
    <ds:schemaRef ds:uri="71c27b45-13a9-4eae-b7dd-94b7a92ff0e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93f7195-26ec-47f6-8255-9f1f78f7f44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Income statement</vt:lpstr>
      <vt:lpstr>Balance sheet</vt:lpstr>
      <vt:lpstr>Cashflow</vt:lpstr>
      <vt:lpstr>Key figures</vt:lpstr>
      <vt:lpstr>Regions</vt:lpstr>
      <vt:lpstr>Segments</vt:lpstr>
      <vt:lpstr>Cashflow!Print_Area</vt:lpstr>
    </vt:vector>
  </TitlesOfParts>
  <Company>BW Offshore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Kristian Bø-Alnes</dc:creator>
  <cp:lastModifiedBy>Kathrine Stenberg</cp:lastModifiedBy>
  <cp:lastPrinted>2019-01-30T12:23:34Z</cp:lastPrinted>
  <dcterms:created xsi:type="dcterms:W3CDTF">2012-05-08T13:41:05Z</dcterms:created>
  <dcterms:modified xsi:type="dcterms:W3CDTF">2021-11-22T14:10:02Z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0x010100DF15C4710E83B649AA3F6F96E185FC7D</vt:lpwstr>
  </property>
</Properties>
</file>